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2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 activeTab="1"/>
  </bookViews>
  <sheets>
    <sheet name="Cover" sheetId="4" r:id="rId1"/>
    <sheet name="Client Load Sheet" sheetId="2" r:id="rId2"/>
    <sheet name="IPNZ Internal" sheetId="3" state="hidden" r:id="rId3"/>
  </sheets>
  <definedNames>
    <definedName name="_xlnm.Print_Area" localSheetId="0">Cover!$B$2:$E$53</definedName>
    <definedName name="_xlnm.Print_Area" localSheetId="2">'IPNZ Internal'!$A$1:$Z$64</definedName>
  </definedNames>
  <calcPr calcId="152511"/>
</workbook>
</file>

<file path=xl/calcChain.xml><?xml version="1.0" encoding="utf-8"?>
<calcChain xmlns="http://schemas.openxmlformats.org/spreadsheetml/2006/main">
  <c r="B191" i="3" l="1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19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60" i="3"/>
  <c r="B151" i="3"/>
  <c r="B152" i="3"/>
  <c r="B153" i="3"/>
  <c r="B154" i="3"/>
  <c r="B155" i="3"/>
  <c r="B156" i="3"/>
  <c r="B157" i="3"/>
  <c r="B150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2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09" i="3"/>
  <c r="B98" i="3"/>
  <c r="B99" i="3"/>
  <c r="B100" i="3"/>
  <c r="B101" i="3"/>
  <c r="B102" i="3"/>
  <c r="B103" i="3"/>
  <c r="B104" i="3"/>
  <c r="B105" i="3"/>
  <c r="B106" i="3"/>
  <c r="B97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59" i="3"/>
  <c r="B51" i="3"/>
  <c r="B52" i="3"/>
  <c r="B53" i="3"/>
  <c r="B54" i="3"/>
  <c r="B55" i="3"/>
  <c r="B56" i="3"/>
  <c r="B50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26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10" i="3"/>
  <c r="C10" i="3" l="1"/>
  <c r="G10" i="3" s="1"/>
  <c r="H10" i="3" s="1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G21" i="3" s="1"/>
  <c r="H21" i="3" s="1"/>
  <c r="D21" i="3"/>
  <c r="E21" i="3"/>
  <c r="C22" i="3"/>
  <c r="G22" i="3" s="1"/>
  <c r="H22" i="3" s="1"/>
  <c r="D22" i="3"/>
  <c r="E22" i="3"/>
  <c r="C23" i="3"/>
  <c r="D23" i="3"/>
  <c r="E23" i="3"/>
  <c r="G23" i="3"/>
  <c r="H23" i="3" s="1"/>
  <c r="C26" i="3"/>
  <c r="D26" i="3"/>
  <c r="E26" i="3"/>
  <c r="C27" i="3"/>
  <c r="D27" i="3"/>
  <c r="E27" i="3"/>
  <c r="C28" i="3"/>
  <c r="D28" i="3"/>
  <c r="E28" i="3"/>
  <c r="C29" i="3"/>
  <c r="D29" i="3"/>
  <c r="E29" i="3"/>
  <c r="G29" i="3" s="1"/>
  <c r="H29" i="3" s="1"/>
  <c r="C30" i="3"/>
  <c r="D30" i="3"/>
  <c r="E30" i="3"/>
  <c r="C31" i="3"/>
  <c r="D31" i="3"/>
  <c r="E31" i="3"/>
  <c r="C32" i="3"/>
  <c r="D32" i="3"/>
  <c r="E32" i="3"/>
  <c r="C33" i="3"/>
  <c r="D33" i="3"/>
  <c r="E33" i="3"/>
  <c r="G33" i="3"/>
  <c r="H33" i="3" s="1"/>
  <c r="C34" i="3"/>
  <c r="D34" i="3"/>
  <c r="E34" i="3"/>
  <c r="G34" i="3"/>
  <c r="H34" i="3" s="1"/>
  <c r="C35" i="3"/>
  <c r="D35" i="3"/>
  <c r="E35" i="3"/>
  <c r="G35" i="3" s="1"/>
  <c r="H35" i="3" s="1"/>
  <c r="C36" i="3"/>
  <c r="D36" i="3"/>
  <c r="E36" i="3"/>
  <c r="C37" i="3"/>
  <c r="D37" i="3"/>
  <c r="E37" i="3"/>
  <c r="C38" i="3"/>
  <c r="D38" i="3"/>
  <c r="G38" i="3" s="1"/>
  <c r="H38" i="3" s="1"/>
  <c r="E38" i="3"/>
  <c r="C39" i="3"/>
  <c r="D39" i="3"/>
  <c r="E39" i="3"/>
  <c r="C40" i="3"/>
  <c r="D40" i="3"/>
  <c r="G40" i="3" s="1"/>
  <c r="H40" i="3" s="1"/>
  <c r="E40" i="3"/>
  <c r="C41" i="3"/>
  <c r="D41" i="3"/>
  <c r="E41" i="3"/>
  <c r="C42" i="3"/>
  <c r="D42" i="3"/>
  <c r="E42" i="3"/>
  <c r="C43" i="3"/>
  <c r="G43" i="3" s="1"/>
  <c r="H43" i="3" s="1"/>
  <c r="D43" i="3"/>
  <c r="E43" i="3"/>
  <c r="C44" i="3"/>
  <c r="D44" i="3"/>
  <c r="E44" i="3"/>
  <c r="C45" i="3"/>
  <c r="D45" i="3"/>
  <c r="E45" i="3"/>
  <c r="C46" i="3"/>
  <c r="D46" i="3"/>
  <c r="E46" i="3"/>
  <c r="G46" i="3"/>
  <c r="H46" i="3" s="1"/>
  <c r="C47" i="3"/>
  <c r="D47" i="3"/>
  <c r="E47" i="3"/>
  <c r="C50" i="3"/>
  <c r="G50" i="3" s="1"/>
  <c r="H50" i="3" s="1"/>
  <c r="D50" i="3"/>
  <c r="E50" i="3"/>
  <c r="C51" i="3"/>
  <c r="D51" i="3"/>
  <c r="E51" i="3"/>
  <c r="C52" i="3"/>
  <c r="G52" i="3" s="1"/>
  <c r="H52" i="3" s="1"/>
  <c r="D52" i="3"/>
  <c r="E52" i="3"/>
  <c r="C53" i="3"/>
  <c r="G53" i="3" s="1"/>
  <c r="H53" i="3" s="1"/>
  <c r="D53" i="3"/>
  <c r="E53" i="3"/>
  <c r="C54" i="3"/>
  <c r="G54" i="3" s="1"/>
  <c r="H54" i="3" s="1"/>
  <c r="D54" i="3"/>
  <c r="E54" i="3"/>
  <c r="C55" i="3"/>
  <c r="D55" i="3"/>
  <c r="E55" i="3"/>
  <c r="G55" i="3"/>
  <c r="H55" i="3" s="1"/>
  <c r="C56" i="3"/>
  <c r="D56" i="3"/>
  <c r="E56" i="3"/>
  <c r="G56" i="3"/>
  <c r="H56" i="3" s="1"/>
  <c r="C59" i="3"/>
  <c r="D59" i="3"/>
  <c r="E59" i="3"/>
  <c r="C60" i="3"/>
  <c r="G60" i="3" s="1"/>
  <c r="H60" i="3" s="1"/>
  <c r="D60" i="3"/>
  <c r="E60" i="3"/>
  <c r="C61" i="3"/>
  <c r="D61" i="3"/>
  <c r="E61" i="3"/>
  <c r="G61" i="3"/>
  <c r="H61" i="3" s="1"/>
  <c r="C62" i="3"/>
  <c r="D62" i="3"/>
  <c r="E62" i="3"/>
  <c r="C63" i="3"/>
  <c r="D63" i="3"/>
  <c r="E63" i="3"/>
  <c r="C64" i="3"/>
  <c r="G64" i="3" s="1"/>
  <c r="H64" i="3" s="1"/>
  <c r="D64" i="3"/>
  <c r="E64" i="3"/>
  <c r="C65" i="3"/>
  <c r="G65" i="3" s="1"/>
  <c r="H65" i="3" s="1"/>
  <c r="D65" i="3"/>
  <c r="E65" i="3"/>
  <c r="C66" i="3"/>
  <c r="D66" i="3"/>
  <c r="G66" i="3" s="1"/>
  <c r="H66" i="3" s="1"/>
  <c r="E66" i="3"/>
  <c r="C67" i="3"/>
  <c r="D67" i="3"/>
  <c r="E67" i="3"/>
  <c r="C68" i="3"/>
  <c r="G68" i="3" s="1"/>
  <c r="H68" i="3" s="1"/>
  <c r="D68" i="3"/>
  <c r="E68" i="3"/>
  <c r="C77" i="3"/>
  <c r="G77" i="3" s="1"/>
  <c r="H77" i="3" s="1"/>
  <c r="D77" i="3"/>
  <c r="E77" i="3"/>
  <c r="C78" i="3"/>
  <c r="D78" i="3"/>
  <c r="G78" i="3" s="1"/>
  <c r="H78" i="3" s="1"/>
  <c r="E78" i="3"/>
  <c r="C79" i="3"/>
  <c r="G79" i="3" s="1"/>
  <c r="H79" i="3" s="1"/>
  <c r="D79" i="3"/>
  <c r="E79" i="3"/>
  <c r="C80" i="3"/>
  <c r="G80" i="3" s="1"/>
  <c r="H80" i="3" s="1"/>
  <c r="D80" i="3"/>
  <c r="E80" i="3"/>
  <c r="C81" i="3"/>
  <c r="G81" i="3" s="1"/>
  <c r="H81" i="3" s="1"/>
  <c r="D81" i="3"/>
  <c r="E81" i="3"/>
  <c r="C82" i="3"/>
  <c r="G82" i="3" s="1"/>
  <c r="H82" i="3" s="1"/>
  <c r="D82" i="3"/>
  <c r="E82" i="3"/>
  <c r="C83" i="3"/>
  <c r="G83" i="3" s="1"/>
  <c r="H83" i="3" s="1"/>
  <c r="D83" i="3"/>
  <c r="E83" i="3"/>
  <c r="C84" i="3"/>
  <c r="G84" i="3" s="1"/>
  <c r="H84" i="3" s="1"/>
  <c r="D84" i="3"/>
  <c r="E84" i="3"/>
  <c r="C85" i="3"/>
  <c r="D85" i="3"/>
  <c r="E85" i="3"/>
  <c r="G85" i="3"/>
  <c r="H85" i="3"/>
  <c r="C86" i="3"/>
  <c r="D86" i="3"/>
  <c r="E86" i="3"/>
  <c r="G86" i="3"/>
  <c r="H86" i="3" s="1"/>
  <c r="C87" i="3"/>
  <c r="D87" i="3"/>
  <c r="E87" i="3"/>
  <c r="G87" i="3"/>
  <c r="H87" i="3" s="1"/>
  <c r="C88" i="3"/>
  <c r="D88" i="3"/>
  <c r="E88" i="3"/>
  <c r="G88" i="3"/>
  <c r="H88" i="3" s="1"/>
  <c r="C98" i="3"/>
  <c r="G98" i="3" s="1"/>
  <c r="H98" i="3" s="1"/>
  <c r="D98" i="3"/>
  <c r="E98" i="3"/>
  <c r="C99" i="3"/>
  <c r="D99" i="3"/>
  <c r="G99" i="3" s="1"/>
  <c r="H99" i="3" s="1"/>
  <c r="E99" i="3"/>
  <c r="C100" i="3"/>
  <c r="G100" i="3" s="1"/>
  <c r="H100" i="3" s="1"/>
  <c r="D100" i="3"/>
  <c r="E100" i="3"/>
  <c r="C101" i="3"/>
  <c r="D101" i="3"/>
  <c r="E101" i="3"/>
  <c r="C102" i="3"/>
  <c r="G102" i="3" s="1"/>
  <c r="H102" i="3" s="1"/>
  <c r="D102" i="3"/>
  <c r="E102" i="3"/>
  <c r="C103" i="3"/>
  <c r="D103" i="3"/>
  <c r="E103" i="3"/>
  <c r="G103" i="3"/>
  <c r="H103" i="3" s="1"/>
  <c r="C104" i="3"/>
  <c r="G104" i="3" s="1"/>
  <c r="H104" i="3" s="1"/>
  <c r="D104" i="3"/>
  <c r="E104" i="3"/>
  <c r="C112" i="3"/>
  <c r="G112" i="3" s="1"/>
  <c r="H112" i="3" s="1"/>
  <c r="D112" i="3"/>
  <c r="E112" i="3"/>
  <c r="C113" i="3"/>
  <c r="D113" i="3"/>
  <c r="E113" i="3"/>
  <c r="G113" i="3"/>
  <c r="H113" i="3" s="1"/>
  <c r="C114" i="3"/>
  <c r="D114" i="3"/>
  <c r="E114" i="3"/>
  <c r="C115" i="3"/>
  <c r="D115" i="3"/>
  <c r="E115" i="3"/>
  <c r="G115" i="3"/>
  <c r="H115" i="3" s="1"/>
  <c r="C116" i="3"/>
  <c r="D116" i="3"/>
  <c r="E116" i="3"/>
  <c r="C117" i="3"/>
  <c r="D117" i="3"/>
  <c r="E117" i="3"/>
  <c r="G117" i="3"/>
  <c r="H117" i="3" s="1"/>
  <c r="C118" i="3"/>
  <c r="D118" i="3"/>
  <c r="E118" i="3"/>
  <c r="G118" i="3"/>
  <c r="H118" i="3" s="1"/>
  <c r="C119" i="3"/>
  <c r="D119" i="3"/>
  <c r="E119" i="3"/>
  <c r="G119" i="3" s="1"/>
  <c r="H119" i="3" s="1"/>
  <c r="C120" i="3"/>
  <c r="D120" i="3"/>
  <c r="G120" i="3" s="1"/>
  <c r="H120" i="3" s="1"/>
  <c r="E120" i="3"/>
  <c r="C121" i="3"/>
  <c r="G121" i="3" s="1"/>
  <c r="H121" i="3" s="1"/>
  <c r="D121" i="3"/>
  <c r="E121" i="3"/>
  <c r="C122" i="3"/>
  <c r="D122" i="3"/>
  <c r="E122" i="3"/>
  <c r="G122" i="3"/>
  <c r="H122" i="3"/>
  <c r="C152" i="3"/>
  <c r="D152" i="3"/>
  <c r="E152" i="3"/>
  <c r="G152" i="3"/>
  <c r="H152" i="3" s="1"/>
  <c r="C153" i="3"/>
  <c r="D153" i="3"/>
  <c r="E153" i="3"/>
  <c r="G153" i="3"/>
  <c r="H153" i="3"/>
  <c r="C154" i="3"/>
  <c r="D154" i="3"/>
  <c r="E154" i="3"/>
  <c r="G154" i="3"/>
  <c r="H154" i="3" s="1"/>
  <c r="C155" i="3"/>
  <c r="D155" i="3"/>
  <c r="E155" i="3"/>
  <c r="G155" i="3"/>
  <c r="H155" i="3"/>
  <c r="C156" i="3"/>
  <c r="D156" i="3"/>
  <c r="E156" i="3"/>
  <c r="C157" i="3"/>
  <c r="D157" i="3"/>
  <c r="E157" i="3"/>
  <c r="G157" i="3"/>
  <c r="H157" i="3"/>
  <c r="C170" i="3"/>
  <c r="D170" i="3"/>
  <c r="G170" i="3" s="1"/>
  <c r="H170" i="3" s="1"/>
  <c r="E170" i="3"/>
  <c r="C171" i="3"/>
  <c r="G171" i="3" s="1"/>
  <c r="H171" i="3" s="1"/>
  <c r="D171" i="3"/>
  <c r="E171" i="3"/>
  <c r="C172" i="3"/>
  <c r="D172" i="3"/>
  <c r="E172" i="3"/>
  <c r="G172" i="3"/>
  <c r="H172" i="3" s="1"/>
  <c r="C173" i="3"/>
  <c r="D173" i="3"/>
  <c r="E173" i="3"/>
  <c r="C174" i="3"/>
  <c r="D174" i="3"/>
  <c r="E174" i="3"/>
  <c r="G174" i="3"/>
  <c r="H174" i="3" s="1"/>
  <c r="C175" i="3"/>
  <c r="G175" i="3" s="1"/>
  <c r="H175" i="3" s="1"/>
  <c r="D175" i="3"/>
  <c r="E175" i="3"/>
  <c r="C176" i="3"/>
  <c r="D176" i="3"/>
  <c r="E176" i="3"/>
  <c r="G176" i="3"/>
  <c r="H176" i="3" s="1"/>
  <c r="C177" i="3"/>
  <c r="D177" i="3"/>
  <c r="E177" i="3"/>
  <c r="G177" i="3"/>
  <c r="H177" i="3"/>
  <c r="C178" i="3"/>
  <c r="D178" i="3"/>
  <c r="E178" i="3"/>
  <c r="G178" i="3"/>
  <c r="H178" i="3" s="1"/>
  <c r="C181" i="3"/>
  <c r="D181" i="3" s="1"/>
  <c r="H181" i="3" s="1"/>
  <c r="H188" i="3" s="1"/>
  <c r="Y7" i="3" s="1"/>
  <c r="C182" i="3"/>
  <c r="D182" i="3"/>
  <c r="H182" i="3"/>
  <c r="C183" i="3"/>
  <c r="D183" i="3"/>
  <c r="H183" i="3"/>
  <c r="C184" i="3"/>
  <c r="D184" i="3"/>
  <c r="H184" i="3"/>
  <c r="C185" i="3"/>
  <c r="D185" i="3"/>
  <c r="H185" i="3"/>
  <c r="C190" i="3"/>
  <c r="D190" i="3"/>
  <c r="E190" i="3"/>
  <c r="G190" i="3"/>
  <c r="H190" i="3" s="1"/>
  <c r="C191" i="3"/>
  <c r="D191" i="3"/>
  <c r="E191" i="3"/>
  <c r="G191" i="3"/>
  <c r="H191" i="3" s="1"/>
  <c r="C192" i="3"/>
  <c r="D192" i="3"/>
  <c r="E192" i="3"/>
  <c r="G192" i="3"/>
  <c r="H192" i="3"/>
  <c r="C193" i="3"/>
  <c r="D193" i="3"/>
  <c r="E193" i="3"/>
  <c r="G193" i="3"/>
  <c r="H193" i="3" s="1"/>
  <c r="C194" i="3"/>
  <c r="D194" i="3"/>
  <c r="E194" i="3"/>
  <c r="G194" i="3"/>
  <c r="H194" i="3"/>
  <c r="C195" i="3"/>
  <c r="D195" i="3"/>
  <c r="E195" i="3"/>
  <c r="G195" i="3"/>
  <c r="H195" i="3" s="1"/>
  <c r="C196" i="3"/>
  <c r="D196" i="3"/>
  <c r="E196" i="3"/>
  <c r="G196" i="3"/>
  <c r="H196" i="3"/>
  <c r="C197" i="3"/>
  <c r="D197" i="3"/>
  <c r="E197" i="3"/>
  <c r="G197" i="3"/>
  <c r="H197" i="3" s="1"/>
  <c r="C198" i="3"/>
  <c r="D198" i="3"/>
  <c r="E198" i="3"/>
  <c r="G198" i="3"/>
  <c r="H198" i="3" s="1"/>
  <c r="C135" i="3"/>
  <c r="G135" i="3" s="1"/>
  <c r="H135" i="3" s="1"/>
  <c r="D135" i="3"/>
  <c r="E135" i="3"/>
  <c r="C136" i="3"/>
  <c r="G136" i="3" s="1"/>
  <c r="H136" i="3" s="1"/>
  <c r="D136" i="3"/>
  <c r="E136" i="3"/>
  <c r="C137" i="3"/>
  <c r="D137" i="3"/>
  <c r="E137" i="3"/>
  <c r="C138" i="3"/>
  <c r="G138" i="3" s="1"/>
  <c r="H138" i="3" s="1"/>
  <c r="D138" i="3"/>
  <c r="E138" i="3"/>
  <c r="C139" i="3"/>
  <c r="D139" i="3"/>
  <c r="E139" i="3"/>
  <c r="G139" i="3"/>
  <c r="H139" i="3" s="1"/>
  <c r="C140" i="3"/>
  <c r="D140" i="3"/>
  <c r="E140" i="3"/>
  <c r="G140" i="3" s="1"/>
  <c r="H140" i="3" s="1"/>
  <c r="C141" i="3"/>
  <c r="D141" i="3"/>
  <c r="G141" i="3" s="1"/>
  <c r="H141" i="3" s="1"/>
  <c r="E141" i="3"/>
  <c r="B181" i="3"/>
  <c r="B182" i="3"/>
  <c r="B183" i="3"/>
  <c r="B184" i="3"/>
  <c r="B185" i="3"/>
  <c r="C186" i="3"/>
  <c r="D186" i="3"/>
  <c r="H186" i="3"/>
  <c r="C187" i="3"/>
  <c r="D187" i="3"/>
  <c r="H187" i="3"/>
  <c r="E105" i="3"/>
  <c r="E106" i="3"/>
  <c r="D105" i="3"/>
  <c r="D106" i="3"/>
  <c r="C105" i="3"/>
  <c r="C106" i="3"/>
  <c r="E69" i="3"/>
  <c r="E70" i="3"/>
  <c r="E71" i="3"/>
  <c r="E72" i="3"/>
  <c r="E73" i="3"/>
  <c r="E74" i="3"/>
  <c r="E75" i="3"/>
  <c r="E76" i="3"/>
  <c r="E89" i="3"/>
  <c r="E90" i="3"/>
  <c r="E91" i="3"/>
  <c r="E92" i="3"/>
  <c r="E93" i="3"/>
  <c r="E94" i="3"/>
  <c r="D69" i="3"/>
  <c r="G69" i="3" s="1"/>
  <c r="H69" i="3" s="1"/>
  <c r="D70" i="3"/>
  <c r="D71" i="3"/>
  <c r="D72" i="3"/>
  <c r="D73" i="3"/>
  <c r="G73" i="3" s="1"/>
  <c r="H73" i="3" s="1"/>
  <c r="D74" i="3"/>
  <c r="D75" i="3"/>
  <c r="D76" i="3"/>
  <c r="D89" i="3"/>
  <c r="D90" i="3"/>
  <c r="D91" i="3"/>
  <c r="D92" i="3"/>
  <c r="D93" i="3"/>
  <c r="D94" i="3"/>
  <c r="C69" i="3"/>
  <c r="C70" i="3"/>
  <c r="C71" i="3"/>
  <c r="G71" i="3" s="1"/>
  <c r="H71" i="3" s="1"/>
  <c r="C72" i="3"/>
  <c r="C73" i="3"/>
  <c r="C74" i="3"/>
  <c r="C75" i="3"/>
  <c r="G75" i="3" s="1"/>
  <c r="H75" i="3" s="1"/>
  <c r="C76" i="3"/>
  <c r="G76" i="3" s="1"/>
  <c r="H76" i="3" s="1"/>
  <c r="C89" i="3"/>
  <c r="C90" i="3"/>
  <c r="C91" i="3"/>
  <c r="C92" i="3"/>
  <c r="C93" i="3"/>
  <c r="C94" i="3"/>
  <c r="F93" i="3"/>
  <c r="F94" i="3"/>
  <c r="G93" i="3"/>
  <c r="H93" i="3" s="1"/>
  <c r="G94" i="3"/>
  <c r="H94" i="3"/>
  <c r="F92" i="3"/>
  <c r="G92" i="3"/>
  <c r="H92" i="3" s="1"/>
  <c r="F88" i="3"/>
  <c r="F91" i="3"/>
  <c r="G91" i="3"/>
  <c r="H91" i="3" s="1"/>
  <c r="E97" i="3"/>
  <c r="D97" i="3"/>
  <c r="C97" i="3"/>
  <c r="F50" i="3"/>
  <c r="F200" i="3"/>
  <c r="C130" i="3"/>
  <c r="F104" i="3"/>
  <c r="F102" i="3"/>
  <c r="F103" i="3"/>
  <c r="F105" i="3"/>
  <c r="G105" i="3"/>
  <c r="H105" i="3" s="1"/>
  <c r="C109" i="3"/>
  <c r="D109" i="3"/>
  <c r="E109" i="3"/>
  <c r="F109" i="3"/>
  <c r="C110" i="3"/>
  <c r="D110" i="3"/>
  <c r="E110" i="3"/>
  <c r="G110" i="3" s="1"/>
  <c r="H110" i="3" s="1"/>
  <c r="F110" i="3"/>
  <c r="C111" i="3"/>
  <c r="D111" i="3"/>
  <c r="G111" i="3" s="1"/>
  <c r="H111" i="3" s="1"/>
  <c r="E111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C123" i="3"/>
  <c r="D123" i="3"/>
  <c r="E123" i="3"/>
  <c r="F123" i="3"/>
  <c r="G123" i="3"/>
  <c r="H123" i="3" s="1"/>
  <c r="C124" i="3"/>
  <c r="D124" i="3"/>
  <c r="E124" i="3"/>
  <c r="F124" i="3"/>
  <c r="G124" i="3"/>
  <c r="H124" i="3"/>
  <c r="C125" i="3"/>
  <c r="D125" i="3"/>
  <c r="E125" i="3"/>
  <c r="F125" i="3"/>
  <c r="G125" i="3"/>
  <c r="H125" i="3"/>
  <c r="C126" i="3"/>
  <c r="D126" i="3"/>
  <c r="E126" i="3"/>
  <c r="F126" i="3"/>
  <c r="G126" i="3"/>
  <c r="H126" i="3"/>
  <c r="E199" i="3"/>
  <c r="E200" i="3"/>
  <c r="E201" i="3"/>
  <c r="E202" i="3"/>
  <c r="E203" i="3"/>
  <c r="E204" i="3"/>
  <c r="E205" i="3"/>
  <c r="E206" i="3"/>
  <c r="E207" i="3"/>
  <c r="E208" i="3"/>
  <c r="D199" i="3"/>
  <c r="G199" i="3" s="1"/>
  <c r="H199" i="3" s="1"/>
  <c r="D200" i="3"/>
  <c r="D201" i="3"/>
  <c r="D202" i="3"/>
  <c r="G202" i="3" s="1"/>
  <c r="H202" i="3" s="1"/>
  <c r="D203" i="3"/>
  <c r="D204" i="3"/>
  <c r="D205" i="3"/>
  <c r="D206" i="3"/>
  <c r="D207" i="3"/>
  <c r="D208" i="3"/>
  <c r="C199" i="3"/>
  <c r="C200" i="3"/>
  <c r="C201" i="3"/>
  <c r="G201" i="3" s="1"/>
  <c r="H201" i="3" s="1"/>
  <c r="C202" i="3"/>
  <c r="C203" i="3"/>
  <c r="C204" i="3"/>
  <c r="C205" i="3"/>
  <c r="C206" i="3"/>
  <c r="C207" i="3"/>
  <c r="C208" i="3"/>
  <c r="F195" i="3"/>
  <c r="F196" i="3"/>
  <c r="F197" i="3"/>
  <c r="F198" i="3"/>
  <c r="F199" i="3"/>
  <c r="F201" i="3"/>
  <c r="F202" i="3"/>
  <c r="F203" i="3"/>
  <c r="F204" i="3"/>
  <c r="F205" i="3"/>
  <c r="F206" i="3"/>
  <c r="F207" i="3"/>
  <c r="F208" i="3"/>
  <c r="G200" i="3"/>
  <c r="H200" i="3" s="1"/>
  <c r="G204" i="3"/>
  <c r="G205" i="3"/>
  <c r="G206" i="3"/>
  <c r="H206" i="3" s="1"/>
  <c r="G207" i="3"/>
  <c r="H207" i="3" s="1"/>
  <c r="G208" i="3"/>
  <c r="H204" i="3"/>
  <c r="H205" i="3"/>
  <c r="H208" i="3"/>
  <c r="F194" i="3"/>
  <c r="F193" i="3"/>
  <c r="F192" i="3"/>
  <c r="C161" i="3"/>
  <c r="D161" i="3"/>
  <c r="E161" i="3"/>
  <c r="G161" i="3"/>
  <c r="H161" i="3"/>
  <c r="C162" i="3"/>
  <c r="D162" i="3"/>
  <c r="E162" i="3"/>
  <c r="G162" i="3"/>
  <c r="H162" i="3" s="1"/>
  <c r="C163" i="3"/>
  <c r="D163" i="3"/>
  <c r="G163" i="3" s="1"/>
  <c r="H163" i="3" s="1"/>
  <c r="E163" i="3"/>
  <c r="C164" i="3"/>
  <c r="D164" i="3"/>
  <c r="E164" i="3"/>
  <c r="G164" i="3"/>
  <c r="H164" i="3" s="1"/>
  <c r="C165" i="3"/>
  <c r="D165" i="3"/>
  <c r="E165" i="3"/>
  <c r="C166" i="3"/>
  <c r="G166" i="3" s="1"/>
  <c r="H166" i="3" s="1"/>
  <c r="D166" i="3"/>
  <c r="E166" i="3"/>
  <c r="C167" i="3"/>
  <c r="D167" i="3"/>
  <c r="E167" i="3"/>
  <c r="G167" i="3"/>
  <c r="H167" i="3" s="1"/>
  <c r="C168" i="3"/>
  <c r="G168" i="3" s="1"/>
  <c r="H168" i="3" s="1"/>
  <c r="D168" i="3"/>
  <c r="E168" i="3"/>
  <c r="C169" i="3"/>
  <c r="D169" i="3"/>
  <c r="E169" i="3"/>
  <c r="G169" i="3"/>
  <c r="H169" i="3" s="1"/>
  <c r="E160" i="3"/>
  <c r="D160" i="3"/>
  <c r="C160" i="3"/>
  <c r="F176" i="3"/>
  <c r="F177" i="3"/>
  <c r="F178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E151" i="3"/>
  <c r="E150" i="3"/>
  <c r="D151" i="3"/>
  <c r="D150" i="3"/>
  <c r="C151" i="3"/>
  <c r="C150" i="3"/>
  <c r="F156" i="3"/>
  <c r="F157" i="3"/>
  <c r="F151" i="3"/>
  <c r="G151" i="3"/>
  <c r="H151" i="3"/>
  <c r="F152" i="3"/>
  <c r="F153" i="3"/>
  <c r="F154" i="3"/>
  <c r="F155" i="3"/>
  <c r="E130" i="3"/>
  <c r="E131" i="3"/>
  <c r="E132" i="3"/>
  <c r="E133" i="3"/>
  <c r="E134" i="3"/>
  <c r="E142" i="3"/>
  <c r="E143" i="3"/>
  <c r="E144" i="3"/>
  <c r="E145" i="3"/>
  <c r="E146" i="3"/>
  <c r="E147" i="3"/>
  <c r="E129" i="3"/>
  <c r="D130" i="3"/>
  <c r="D131" i="3"/>
  <c r="D132" i="3"/>
  <c r="D133" i="3"/>
  <c r="D134" i="3"/>
  <c r="D142" i="3"/>
  <c r="G142" i="3" s="1"/>
  <c r="H142" i="3" s="1"/>
  <c r="D143" i="3"/>
  <c r="D144" i="3"/>
  <c r="D145" i="3"/>
  <c r="D146" i="3"/>
  <c r="D147" i="3"/>
  <c r="D129" i="3"/>
  <c r="C131" i="3"/>
  <c r="C132" i="3"/>
  <c r="C133" i="3"/>
  <c r="C134" i="3"/>
  <c r="C142" i="3"/>
  <c r="C143" i="3"/>
  <c r="G143" i="3" s="1"/>
  <c r="H143" i="3" s="1"/>
  <c r="C144" i="3"/>
  <c r="C145" i="3"/>
  <c r="C146" i="3"/>
  <c r="C147" i="3"/>
  <c r="C129" i="3"/>
  <c r="F132" i="3"/>
  <c r="G132" i="3"/>
  <c r="H132" i="3" s="1"/>
  <c r="F133" i="3"/>
  <c r="G133" i="3"/>
  <c r="H133" i="3" s="1"/>
  <c r="F134" i="3"/>
  <c r="G134" i="3"/>
  <c r="H134" i="3" s="1"/>
  <c r="F135" i="3"/>
  <c r="F136" i="3"/>
  <c r="F137" i="3"/>
  <c r="F138" i="3"/>
  <c r="F139" i="3"/>
  <c r="F140" i="3"/>
  <c r="F141" i="3"/>
  <c r="F142" i="3"/>
  <c r="F143" i="3"/>
  <c r="F144" i="3"/>
  <c r="F145" i="3"/>
  <c r="G145" i="3"/>
  <c r="H145" i="3" s="1"/>
  <c r="F146" i="3"/>
  <c r="G146" i="3"/>
  <c r="H146" i="3" s="1"/>
  <c r="F131" i="3"/>
  <c r="G131" i="3"/>
  <c r="H131" i="3"/>
  <c r="F100" i="3"/>
  <c r="F101" i="3"/>
  <c r="F106" i="3"/>
  <c r="G106" i="3"/>
  <c r="H106" i="3" s="1"/>
  <c r="F83" i="3"/>
  <c r="F84" i="3"/>
  <c r="F85" i="3"/>
  <c r="F86" i="3"/>
  <c r="F87" i="3"/>
  <c r="F89" i="3"/>
  <c r="F90" i="3"/>
  <c r="G89" i="3"/>
  <c r="G90" i="3"/>
  <c r="H89" i="3"/>
  <c r="H90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65" i="3"/>
  <c r="F35" i="3"/>
  <c r="F43" i="3"/>
  <c r="F38" i="3"/>
  <c r="F42" i="3"/>
  <c r="F40" i="3"/>
  <c r="F39" i="3"/>
  <c r="F36" i="3"/>
  <c r="F47" i="3"/>
  <c r="F41" i="3"/>
  <c r="F37" i="3"/>
  <c r="F33" i="3"/>
  <c r="F31" i="3"/>
  <c r="F45" i="3"/>
  <c r="F46" i="3"/>
  <c r="F44" i="3"/>
  <c r="F30" i="3"/>
  <c r="F34" i="3"/>
  <c r="F32" i="3"/>
  <c r="F17" i="3"/>
  <c r="F16" i="3"/>
  <c r="F18" i="3"/>
  <c r="F14" i="3"/>
  <c r="F20" i="3"/>
  <c r="F23" i="3"/>
  <c r="F22" i="3"/>
  <c r="F21" i="3"/>
  <c r="F29" i="3"/>
  <c r="F19" i="3"/>
  <c r="F15" i="3"/>
  <c r="F13" i="3"/>
  <c r="G129" i="3"/>
  <c r="H129" i="3" s="1"/>
  <c r="G130" i="3"/>
  <c r="H130" i="3" s="1"/>
  <c r="G147" i="3"/>
  <c r="H147" i="3" s="1"/>
  <c r="G160" i="3"/>
  <c r="H160" i="3"/>
  <c r="G97" i="3"/>
  <c r="H97" i="3"/>
  <c r="G150" i="3"/>
  <c r="H150" i="3"/>
  <c r="F191" i="3"/>
  <c r="F190" i="3"/>
  <c r="F150" i="3"/>
  <c r="F99" i="3"/>
  <c r="F98" i="3"/>
  <c r="F97" i="3"/>
  <c r="F175" i="3"/>
  <c r="F174" i="3"/>
  <c r="F160" i="3"/>
  <c r="F147" i="3"/>
  <c r="F130" i="3"/>
  <c r="F129" i="3"/>
  <c r="F64" i="3"/>
  <c r="F63" i="3"/>
  <c r="F62" i="3"/>
  <c r="F61" i="3"/>
  <c r="F60" i="3"/>
  <c r="F59" i="3"/>
  <c r="F28" i="3"/>
  <c r="F27" i="3"/>
  <c r="F26" i="3"/>
  <c r="F12" i="3"/>
  <c r="F11" i="3"/>
  <c r="F10" i="3"/>
  <c r="G74" i="3" l="1"/>
  <c r="H74" i="3" s="1"/>
  <c r="G70" i="3"/>
  <c r="H70" i="3" s="1"/>
  <c r="G62" i="3"/>
  <c r="H62" i="3" s="1"/>
  <c r="G67" i="3"/>
  <c r="H67" i="3" s="1"/>
  <c r="G63" i="3"/>
  <c r="H63" i="3" s="1"/>
  <c r="G39" i="3"/>
  <c r="H39" i="3" s="1"/>
  <c r="G37" i="3"/>
  <c r="H37" i="3" s="1"/>
  <c r="G45" i="3"/>
  <c r="H45" i="3" s="1"/>
  <c r="G41" i="3"/>
  <c r="H41" i="3" s="1"/>
  <c r="G30" i="3"/>
  <c r="H30" i="3" s="1"/>
  <c r="G47" i="3"/>
  <c r="H47" i="3" s="1"/>
  <c r="G36" i="3"/>
  <c r="H36" i="3" s="1"/>
  <c r="G31" i="3"/>
  <c r="H31" i="3" s="1"/>
  <c r="G42" i="3"/>
  <c r="H42" i="3" s="1"/>
  <c r="G72" i="3"/>
  <c r="H72" i="3" s="1"/>
  <c r="G32" i="3"/>
  <c r="H32" i="3" s="1"/>
  <c r="G17" i="3"/>
  <c r="H17" i="3" s="1"/>
  <c r="G11" i="3"/>
  <c r="H11" i="3" s="1"/>
  <c r="G19" i="3"/>
  <c r="H19" i="3" s="1"/>
  <c r="G15" i="3"/>
  <c r="H15" i="3" s="1"/>
  <c r="G165" i="3"/>
  <c r="H165" i="3" s="1"/>
  <c r="G203" i="3"/>
  <c r="H203" i="3" s="1"/>
  <c r="H209" i="3" s="1"/>
  <c r="Y12" i="3" s="1"/>
  <c r="G173" i="3"/>
  <c r="H173" i="3" s="1"/>
  <c r="H179" i="3" s="1"/>
  <c r="Y9" i="3" s="1"/>
  <c r="G156" i="3"/>
  <c r="H156" i="3" s="1"/>
  <c r="H158" i="3" s="1"/>
  <c r="Y11" i="3" s="1"/>
  <c r="G137" i="3"/>
  <c r="H137" i="3" s="1"/>
  <c r="G144" i="3"/>
  <c r="H144" i="3" s="1"/>
  <c r="G116" i="3"/>
  <c r="H116" i="3" s="1"/>
  <c r="G114" i="3"/>
  <c r="H114" i="3" s="1"/>
  <c r="G109" i="3"/>
  <c r="H109" i="3" s="1"/>
  <c r="G101" i="3"/>
  <c r="H101" i="3" s="1"/>
  <c r="H107" i="3" s="1"/>
  <c r="Y10" i="3" s="1"/>
  <c r="G59" i="3"/>
  <c r="H59" i="3" s="1"/>
  <c r="G51" i="3"/>
  <c r="H51" i="3" s="1"/>
  <c r="H57" i="3" s="1"/>
  <c r="Y4" i="3" s="1"/>
  <c r="G27" i="3"/>
  <c r="H27" i="3" s="1"/>
  <c r="G28" i="3"/>
  <c r="H28" i="3" s="1"/>
  <c r="G44" i="3"/>
  <c r="H44" i="3" s="1"/>
  <c r="G26" i="3"/>
  <c r="H26" i="3" s="1"/>
  <c r="G18" i="3"/>
  <c r="H18" i="3" s="1"/>
  <c r="G20" i="3"/>
  <c r="H20" i="3" s="1"/>
  <c r="G16" i="3"/>
  <c r="H16" i="3" s="1"/>
  <c r="G14" i="3"/>
  <c r="H14" i="3" s="1"/>
  <c r="G12" i="3"/>
  <c r="H12" i="3" s="1"/>
  <c r="G13" i="3"/>
  <c r="H13" i="3" s="1"/>
  <c r="H95" i="3" l="1"/>
  <c r="Y6" i="3" s="1"/>
  <c r="H127" i="3"/>
  <c r="Y5" i="3" s="1"/>
  <c r="H48" i="3"/>
  <c r="Y3" i="3" s="1"/>
  <c r="H148" i="3"/>
  <c r="Y8" i="3" s="1"/>
  <c r="H24" i="3"/>
  <c r="Y2" i="3" s="1"/>
  <c r="Y14" i="3" l="1"/>
  <c r="H210" i="3"/>
</calcChain>
</file>

<file path=xl/sharedStrings.xml><?xml version="1.0" encoding="utf-8"?>
<sst xmlns="http://schemas.openxmlformats.org/spreadsheetml/2006/main" count="808" uniqueCount="258">
  <si>
    <t>Quantity</t>
  </si>
  <si>
    <t>Days/Week</t>
  </si>
  <si>
    <t>CFL 10W</t>
  </si>
  <si>
    <t>CFL 20W</t>
  </si>
  <si>
    <t>CFL 30W</t>
  </si>
  <si>
    <t>Cool White LED</t>
  </si>
  <si>
    <t>LED Security Lights</t>
  </si>
  <si>
    <t>LED Spotlights</t>
  </si>
  <si>
    <t>Warm White LED</t>
  </si>
  <si>
    <t>Other</t>
  </si>
  <si>
    <t>MySky</t>
  </si>
  <si>
    <t>Home Theatre (Large)</t>
  </si>
  <si>
    <t>Home Theatre (Small)</t>
  </si>
  <si>
    <t>TV CRT 32”</t>
  </si>
  <si>
    <t>TV LCD 26”</t>
  </si>
  <si>
    <t>TV LCD 42”</t>
  </si>
  <si>
    <t>TV LCD 52”</t>
  </si>
  <si>
    <t>TV LED 23”</t>
  </si>
  <si>
    <t>TV LED 3D 52”</t>
  </si>
  <si>
    <t>TV LED 40”</t>
  </si>
  <si>
    <t>TV LED 52”</t>
  </si>
  <si>
    <t>TV Plasma 32”</t>
  </si>
  <si>
    <t>TV Plasma 42”</t>
  </si>
  <si>
    <t>TV Plasma 50”</t>
  </si>
  <si>
    <t>Blender (Big)</t>
  </si>
  <si>
    <t>Blender (Small)</t>
  </si>
  <si>
    <t>Bread maker</t>
  </si>
  <si>
    <t>Egg Beater</t>
  </si>
  <si>
    <t>Food Processor</t>
  </si>
  <si>
    <t>Juicer</t>
  </si>
  <si>
    <t>Kettle</t>
  </si>
  <si>
    <t>Slow Cooker</t>
  </si>
  <si>
    <t>Toaster 4pcs</t>
  </si>
  <si>
    <t>Toaster 2pcs</t>
  </si>
  <si>
    <t>Wok</t>
  </si>
  <si>
    <t>Sandwich Maker</t>
  </si>
  <si>
    <t>Clothers Dryer Gas Heated</t>
  </si>
  <si>
    <t>Clothers Dryer Electric</t>
  </si>
  <si>
    <t>Dish Washer Cool Dry</t>
  </si>
  <si>
    <t>Charger small</t>
  </si>
  <si>
    <t>Charger Big</t>
  </si>
  <si>
    <t>Copier</t>
  </si>
  <si>
    <t>Cordless telephone</t>
  </si>
  <si>
    <t>Desktop</t>
  </si>
  <si>
    <t>Desktop (Gaming)</t>
  </si>
  <si>
    <t>Fax machine</t>
  </si>
  <si>
    <t>Laptop</t>
  </si>
  <si>
    <t>Monitor (CRT)</t>
  </si>
  <si>
    <t>Monitor (LCD)</t>
  </si>
  <si>
    <t>Printer (laser B&amp;W)</t>
  </si>
  <si>
    <t>Printer (laser colour)</t>
  </si>
  <si>
    <t xml:space="preserve">Printer multifunction </t>
  </si>
  <si>
    <t>Router</t>
  </si>
  <si>
    <t>Scanner</t>
  </si>
  <si>
    <t>Wifi/Modem</t>
  </si>
  <si>
    <t xml:space="preserve">Christmas Lights </t>
  </si>
  <si>
    <t>Hairdryer</t>
  </si>
  <si>
    <t>Security System</t>
  </si>
  <si>
    <t>Vaccum Cleaner Standard</t>
  </si>
  <si>
    <t> Pump, Well, 1 - 1/2 HP</t>
  </si>
  <si>
    <t> Pump, Well, 1 HP</t>
  </si>
  <si>
    <t> Pump, Well, 1/2 HP</t>
  </si>
  <si>
    <t> Pump, Well, 2 HP</t>
  </si>
  <si>
    <t>Septic System</t>
  </si>
  <si>
    <t>Standard Pump</t>
  </si>
  <si>
    <t>A/C Central 2KW</t>
  </si>
  <si>
    <t>A/C Central 4KW</t>
  </si>
  <si>
    <t>Bathroom Fan + Light</t>
  </si>
  <si>
    <t xml:space="preserve">Fan - Celling Sweep </t>
  </si>
  <si>
    <t xml:space="preserve">Humidifier </t>
  </si>
  <si>
    <t>Water Heater Electric</t>
  </si>
  <si>
    <t xml:space="preserve"> Fridge</t>
  </si>
  <si>
    <t>Freezer</t>
  </si>
  <si>
    <t>Fridge/Freezer</t>
  </si>
  <si>
    <t xml:space="preserve"> Grinder</t>
  </si>
  <si>
    <t>Airless Sprayer 1/2 hp</t>
  </si>
  <si>
    <t>Chain Saw Electric</t>
  </si>
  <si>
    <t>Disc Sander</t>
  </si>
  <si>
    <t>Electric Fence, 25 miles</t>
  </si>
  <si>
    <t>Electric Welder: 200 Amp AC</t>
  </si>
  <si>
    <t>Induction Motor 1.0HP</t>
  </si>
  <si>
    <t>Jig Saw</t>
  </si>
  <si>
    <t>Saw</t>
  </si>
  <si>
    <t>Shop Vac 5 hp</t>
  </si>
  <si>
    <t>Types</t>
  </si>
  <si>
    <t>Load (W)</t>
  </si>
  <si>
    <t>Hrs/Day</t>
  </si>
  <si>
    <t>Surge</t>
  </si>
  <si>
    <t>Weekly Total</t>
  </si>
  <si>
    <t>Daily Total</t>
  </si>
  <si>
    <t>???</t>
  </si>
  <si>
    <t>Total</t>
  </si>
  <si>
    <t>??</t>
  </si>
  <si>
    <t>?</t>
  </si>
  <si>
    <t>Annual Consumption</t>
  </si>
  <si>
    <t>High Energy Consumption</t>
  </si>
  <si>
    <t>Medium Energy Consumption</t>
  </si>
  <si>
    <t>Make</t>
  </si>
  <si>
    <t>Low Energy Consumption</t>
  </si>
  <si>
    <t>Gram</t>
  </si>
  <si>
    <t>Beko/Electrolux</t>
  </si>
  <si>
    <t>Westinghouse</t>
  </si>
  <si>
    <t>Electrolux</t>
  </si>
  <si>
    <t xml:space="preserve"> </t>
  </si>
  <si>
    <t xml:space="preserve">Total Daily </t>
  </si>
  <si>
    <t>Yearly</t>
  </si>
  <si>
    <t>1</t>
  </si>
  <si>
    <t>2</t>
  </si>
  <si>
    <t>Wattage</t>
  </si>
  <si>
    <t>100W Incandescent</t>
  </si>
  <si>
    <t>60W Incandescent</t>
  </si>
  <si>
    <t>40W Incandescent</t>
  </si>
  <si>
    <t>72W Halogen</t>
  </si>
  <si>
    <t>40W Halogen</t>
  </si>
  <si>
    <t>CD Player</t>
  </si>
  <si>
    <t>Digital Set Top Box</t>
  </si>
  <si>
    <t>DVD Player</t>
  </si>
  <si>
    <t>Games Console (Xbox, PS4)</t>
  </si>
  <si>
    <t>Stereo System</t>
  </si>
  <si>
    <t>Coffee Machine (Big)</t>
  </si>
  <si>
    <t>Coffee Machine (Small)</t>
  </si>
  <si>
    <t>Coffee Percolator</t>
  </si>
  <si>
    <t>Deep Fryer</t>
  </si>
  <si>
    <t>Electric Frypan</t>
  </si>
  <si>
    <t>Electric Grill</t>
  </si>
  <si>
    <t xml:space="preserve">Electric Inductive Cook Top </t>
  </si>
  <si>
    <t>Electric Oven</t>
  </si>
  <si>
    <t>Microwave Oven 1000W</t>
  </si>
  <si>
    <t>Microwave Oven 500W</t>
  </si>
  <si>
    <t>Microwave+Convection Oven</t>
  </si>
  <si>
    <t>Popcorn Popper</t>
  </si>
  <si>
    <t>Pressure Cooker</t>
  </si>
  <si>
    <t>Range Hood</t>
  </si>
  <si>
    <t>Rice Cooker</t>
  </si>
  <si>
    <t>Toaster Oven</t>
  </si>
  <si>
    <t>Waffle Cooker</t>
  </si>
  <si>
    <t>Dish Washer Hot Dry</t>
  </si>
  <si>
    <t>Topload Washing Machine Standard</t>
  </si>
  <si>
    <t>Topload Washing Machine Heavy</t>
  </si>
  <si>
    <t>Frontload Washing Machine Standard</t>
  </si>
  <si>
    <t>Frontload Washing Machine Heavy</t>
  </si>
  <si>
    <t>Cordless Telephone</t>
  </si>
  <si>
    <t>Fax Machine</t>
  </si>
  <si>
    <t>Printer (Laser B&amp;W)</t>
  </si>
  <si>
    <t>Printer (Laser colour)</t>
  </si>
  <si>
    <t xml:space="preserve">Printer Multifunction </t>
  </si>
  <si>
    <t>LOAD SHEET FORM</t>
  </si>
  <si>
    <t>APPLIANCES</t>
  </si>
  <si>
    <t>QUANTITY</t>
  </si>
  <si>
    <t>WATTS</t>
  </si>
  <si>
    <t>BRAND/MODEL</t>
  </si>
  <si>
    <t>HOURS/DAY</t>
  </si>
  <si>
    <t>DAYS/WEEK</t>
  </si>
  <si>
    <t>LIGHTS</t>
  </si>
  <si>
    <t>COOKING</t>
  </si>
  <si>
    <t>IT EQUIPMENTS</t>
  </si>
  <si>
    <t>GENERAL APPLIANCES</t>
  </si>
  <si>
    <t>Burglar Alarm</t>
  </si>
  <si>
    <t>Clock Radio</t>
  </si>
  <si>
    <t>Electric Blanket</t>
  </si>
  <si>
    <t>Electric Shaver</t>
  </si>
  <si>
    <t>Electric Toothbrush</t>
  </si>
  <si>
    <t>Workout Machine</t>
  </si>
  <si>
    <t>Garage Door Opener</t>
  </si>
  <si>
    <t>Garbage Disposal Unit</t>
  </si>
  <si>
    <t>Heated Towel Rack</t>
  </si>
  <si>
    <t>Iron - Large</t>
  </si>
  <si>
    <t>Iron - Small</t>
  </si>
  <si>
    <t>Sewing Machine</t>
  </si>
  <si>
    <t>Vacuum Cleaner Heavy</t>
  </si>
  <si>
    <t>DC Pressure Pump Flojet</t>
  </si>
  <si>
    <t>Range/Hob (Small)</t>
  </si>
  <si>
    <t>Range/Hob (Large)</t>
  </si>
  <si>
    <t>Charger Small</t>
  </si>
  <si>
    <t>Printer (Laser Colour)</t>
  </si>
  <si>
    <t>Bar Heater – Dual Strip</t>
  </si>
  <si>
    <t>Bar Heater – Single Strip</t>
  </si>
  <si>
    <t>Radiator Panel - Large</t>
  </si>
  <si>
    <t>Radiator Panel – Medium</t>
  </si>
  <si>
    <t>Radiator Panel - Small</t>
  </si>
  <si>
    <t>Evaporative Whole House</t>
  </si>
  <si>
    <t xml:space="preserve">Evaporative Wall Unit </t>
  </si>
  <si>
    <t>Exhaust Fan</t>
  </si>
  <si>
    <t>Fan - Pedestal/Ceiling</t>
  </si>
  <si>
    <t>Fan - Portable</t>
  </si>
  <si>
    <t>Heater Large Fan Radiator</t>
  </si>
  <si>
    <t>Heater Medium Fan Radiator</t>
  </si>
  <si>
    <t>HEATING &amp; COOLING</t>
  </si>
  <si>
    <t>FRIDGE/FREEZER</t>
  </si>
  <si>
    <t>Chest Freezer</t>
  </si>
  <si>
    <t>Wine Cooler</t>
  </si>
  <si>
    <t>Small</t>
  </si>
  <si>
    <t>Heavy</t>
  </si>
  <si>
    <t>MEDICAL EQUIPMENT</t>
  </si>
  <si>
    <t>Electric Drill</t>
  </si>
  <si>
    <t xml:space="preserve">Electric Mower </t>
  </si>
  <si>
    <t>Hedge Trimmer</t>
  </si>
  <si>
    <t>Pressure Washer 1.0HP</t>
  </si>
  <si>
    <t>Vacuum Pump 2 HP</t>
  </si>
  <si>
    <t>Weed Eater</t>
  </si>
  <si>
    <t>CUSTOMER &amp; SITE DETAILS FORM</t>
  </si>
  <si>
    <t>BASIC DETAILS</t>
  </si>
  <si>
    <t>Column1</t>
  </si>
  <si>
    <t>Column2</t>
  </si>
  <si>
    <t>Column3</t>
  </si>
  <si>
    <t>SITE DETAILS &amp; REQUIREMENTS</t>
  </si>
  <si>
    <t>New built house?</t>
  </si>
  <si>
    <t>Yes</t>
  </si>
  <si>
    <t>No</t>
  </si>
  <si>
    <t>Are you already connected to the grid?</t>
  </si>
  <si>
    <t>N/A</t>
  </si>
  <si>
    <t>Do you have a quote to be grid connected?</t>
  </si>
  <si>
    <t>Have you received an off-grid quote from elsewhere?</t>
  </si>
  <si>
    <t>Does this include installation?</t>
  </si>
  <si>
    <t>Are you working within a budget?</t>
  </si>
  <si>
    <t>Do you have a registered Electrician?</t>
  </si>
  <si>
    <t xml:space="preserve">Does Electrician have DC power experience? </t>
  </si>
  <si>
    <t>Number of household occupants</t>
  </si>
  <si>
    <t>Type of Occupancy</t>
  </si>
  <si>
    <t xml:space="preserve">Full Time </t>
  </si>
  <si>
    <t>Summer Home</t>
  </si>
  <si>
    <t>Winter Home</t>
  </si>
  <si>
    <t>Roof facing Direction (Ideally true north)</t>
  </si>
  <si>
    <t>Roof area available for panels</t>
  </si>
  <si>
    <t>Pitch of the Roof</t>
  </si>
  <si>
    <t>Roof Material</t>
  </si>
  <si>
    <t>Under Roof Framing</t>
  </si>
  <si>
    <t>Purlin</t>
  </si>
  <si>
    <t>Rafter</t>
  </si>
  <si>
    <t>Ground Mount Possible</t>
  </si>
  <si>
    <t>Shading on the Roof?</t>
  </si>
  <si>
    <t>Wind Resource</t>
  </si>
  <si>
    <t>Micro Hydro Resource</t>
  </si>
  <si>
    <t>Generator Considered</t>
  </si>
  <si>
    <t>Low Energy Refrigerations Considered?</t>
  </si>
  <si>
    <t xml:space="preserve">Internet Coverage </t>
  </si>
  <si>
    <t>COMMENTS</t>
  </si>
  <si>
    <t>POWER TOOLS</t>
  </si>
  <si>
    <t>WASHER &amp; DRYER</t>
  </si>
  <si>
    <t>PUMPS</t>
  </si>
  <si>
    <t>Nebulizer</t>
  </si>
  <si>
    <t>Oxygen Machine</t>
  </si>
  <si>
    <t>Breathing Machine</t>
  </si>
  <si>
    <t>Dialysis Machine</t>
  </si>
  <si>
    <t>Air Purifier</t>
  </si>
  <si>
    <t>Monitoring Device/Alarm</t>
  </si>
  <si>
    <t>ENTERTAINMENT EQUIPMENT</t>
  </si>
  <si>
    <t>Copy of a bill Provided?</t>
  </si>
  <si>
    <t>Topload Washing Machine Small</t>
  </si>
  <si>
    <t>Frontload Washing Machine Small</t>
  </si>
  <si>
    <t>Column4</t>
  </si>
  <si>
    <t xml:space="preserve">Customer’s Name </t>
  </si>
  <si>
    <t xml:space="preserve">Site Address </t>
  </si>
  <si>
    <t xml:space="preserve">Postcode </t>
  </si>
  <si>
    <t xml:space="preserve">Contact Number </t>
  </si>
  <si>
    <t xml:space="preserve">Email </t>
  </si>
  <si>
    <t xml:space="preserve">Reference No 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</si>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</sst>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_);[Red]\(&quot;$&quot;#,##0\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9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0"/>
      <color theme="9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theme="4" tint="0.79998168889431442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3999755851924192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DDDDDD"/>
      </top>
      <bottom/>
      <diagonal/>
    </border>
    <border>
      <left style="medium">
        <color indexed="64"/>
      </left>
      <right style="medium">
        <color indexed="64"/>
      </right>
      <top style="medium">
        <color rgb="FFDDDDDD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medium">
        <color indexed="64"/>
      </right>
      <top style="thin">
        <color theme="4" tint="0.3999755851924192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rgb="FFDDDDDD"/>
      </top>
      <bottom/>
      <diagonal/>
    </border>
    <border>
      <left style="medium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medium">
        <color rgb="FFDDDDDD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0" borderId="0" xfId="0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4" borderId="0" xfId="0" applyFont="1" applyFill="1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20" xfId="0" applyNumberFormat="1" applyBorder="1" applyAlignment="1" applyProtection="1">
      <alignment horizontal="center"/>
    </xf>
    <xf numFmtId="0" fontId="8" fillId="20" borderId="0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2" fillId="12" borderId="0" xfId="0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/>
    </xf>
    <xf numFmtId="0" fontId="0" fillId="0" borderId="20" xfId="0" applyNumberFormat="1" applyFont="1" applyFill="1" applyBorder="1" applyAlignment="1" applyProtection="1">
      <alignment horizontal="center"/>
    </xf>
    <xf numFmtId="0" fontId="1" fillId="0" borderId="20" xfId="0" applyFont="1" applyFill="1" applyBorder="1" applyAlignment="1" applyProtection="1">
      <alignment horizontal="center"/>
    </xf>
    <xf numFmtId="0" fontId="1" fillId="0" borderId="20" xfId="0" applyNumberFormat="1" applyFont="1" applyFill="1" applyBorder="1" applyAlignment="1" applyProtection="1">
      <alignment horizontal="center"/>
    </xf>
    <xf numFmtId="0" fontId="0" fillId="0" borderId="20" xfId="0" applyFill="1" applyBorder="1" applyAlignment="1" applyProtection="1">
      <alignment horizontal="center"/>
    </xf>
    <xf numFmtId="0" fontId="9" fillId="19" borderId="0" xfId="0" applyFont="1" applyFill="1" applyBorder="1" applyAlignment="1" applyProtection="1">
      <alignment horizontal="center"/>
    </xf>
    <xf numFmtId="0" fontId="0" fillId="19" borderId="0" xfId="0" applyFill="1" applyBorder="1" applyAlignment="1" applyProtection="1">
      <alignment horizontal="center"/>
    </xf>
    <xf numFmtId="0" fontId="2" fillId="19" borderId="0" xfId="0" applyFont="1" applyFill="1" applyBorder="1" applyAlignment="1" applyProtection="1">
      <alignment horizontal="center"/>
    </xf>
    <xf numFmtId="0" fontId="2" fillId="25" borderId="0" xfId="0" applyFont="1" applyFill="1" applyBorder="1" applyAlignment="1" applyProtection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8" xfId="0" applyFont="1" applyFill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0" xfId="0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7" fillId="16" borderId="0" xfId="0" applyFont="1" applyFill="1" applyBorder="1" applyAlignment="1" applyProtection="1">
      <alignment horizontal="center"/>
    </xf>
    <xf numFmtId="0" fontId="7" fillId="8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center"/>
    </xf>
    <xf numFmtId="0" fontId="9" fillId="13" borderId="0" xfId="0" applyFont="1" applyFill="1" applyBorder="1" applyAlignment="1" applyProtection="1">
      <alignment horizontal="center"/>
    </xf>
    <xf numFmtId="0" fontId="8" fillId="17" borderId="0" xfId="0" applyFont="1" applyFill="1" applyBorder="1" applyAlignment="1" applyProtection="1">
      <alignment horizontal="center" vertical="top" wrapText="1"/>
    </xf>
    <xf numFmtId="0" fontId="7" fillId="7" borderId="0" xfId="0" applyFont="1" applyFill="1" applyBorder="1" applyAlignment="1" applyProtection="1">
      <alignment horizontal="center"/>
    </xf>
    <xf numFmtId="0" fontId="5" fillId="9" borderId="0" xfId="0" applyFont="1" applyFill="1" applyBorder="1" applyAlignment="1" applyProtection="1">
      <alignment horizontal="center"/>
    </xf>
    <xf numFmtId="0" fontId="7" fillId="9" borderId="0" xfId="0" applyFont="1" applyFill="1" applyBorder="1" applyAlignment="1" applyProtection="1">
      <alignment horizontal="center"/>
    </xf>
    <xf numFmtId="0" fontId="7" fillId="12" borderId="0" xfId="0" applyFont="1" applyFill="1" applyBorder="1" applyAlignment="1" applyProtection="1">
      <alignment horizontal="center"/>
    </xf>
    <xf numFmtId="0" fontId="0" fillId="23" borderId="0" xfId="0" applyFill="1" applyBorder="1" applyAlignment="1" applyProtection="1">
      <alignment horizontal="center"/>
    </xf>
    <xf numFmtId="0" fontId="5" fillId="11" borderId="0" xfId="0" applyFont="1" applyFill="1" applyBorder="1" applyAlignment="1" applyProtection="1">
      <alignment horizontal="center"/>
    </xf>
    <xf numFmtId="0" fontId="7" fillId="11" borderId="0" xfId="0" applyFont="1" applyFill="1" applyBorder="1" applyAlignment="1" applyProtection="1">
      <alignment horizontal="center"/>
    </xf>
    <xf numFmtId="0" fontId="9" fillId="15" borderId="20" xfId="0" applyFont="1" applyFill="1" applyBorder="1" applyAlignment="1" applyProtection="1">
      <alignment horizontal="center"/>
    </xf>
    <xf numFmtId="0" fontId="9" fillId="4" borderId="20" xfId="0" applyFont="1" applyFill="1" applyBorder="1" applyAlignment="1" applyProtection="1">
      <alignment horizontal="center"/>
    </xf>
    <xf numFmtId="0" fontId="2" fillId="4" borderId="20" xfId="0" applyFont="1" applyFill="1" applyBorder="1" applyAlignment="1" applyProtection="1">
      <alignment horizontal="center"/>
    </xf>
    <xf numFmtId="0" fontId="9" fillId="16" borderId="20" xfId="0" applyFont="1" applyFill="1" applyBorder="1" applyAlignment="1" applyProtection="1">
      <alignment horizontal="center"/>
    </xf>
    <xf numFmtId="0" fontId="2" fillId="5" borderId="20" xfId="0" applyFont="1" applyFill="1" applyBorder="1" applyAlignment="1" applyProtection="1">
      <alignment horizontal="center"/>
    </xf>
    <xf numFmtId="0" fontId="9" fillId="8" borderId="20" xfId="0" applyFont="1" applyFill="1" applyBorder="1" applyAlignment="1" applyProtection="1">
      <alignment horizontal="center"/>
    </xf>
    <xf numFmtId="0" fontId="2" fillId="8" borderId="20" xfId="0" applyFont="1" applyFill="1" applyBorder="1" applyAlignment="1" applyProtection="1">
      <alignment horizontal="center"/>
    </xf>
    <xf numFmtId="0" fontId="9" fillId="6" borderId="20" xfId="0" applyFont="1" applyFill="1" applyBorder="1" applyAlignment="1" applyProtection="1">
      <alignment horizontal="center"/>
    </xf>
    <xf numFmtId="0" fontId="2" fillId="6" borderId="20" xfId="0" applyFont="1" applyFill="1" applyBorder="1" applyAlignment="1" applyProtection="1">
      <alignment horizontal="center"/>
    </xf>
    <xf numFmtId="0" fontId="9" fillId="12" borderId="20" xfId="0" applyFont="1" applyFill="1" applyBorder="1" applyAlignment="1" applyProtection="1">
      <alignment horizontal="center"/>
    </xf>
    <xf numFmtId="0" fontId="2" fillId="12" borderId="20" xfId="0" applyFont="1" applyFill="1" applyBorder="1" applyAlignment="1" applyProtection="1">
      <alignment horizontal="center"/>
    </xf>
    <xf numFmtId="0" fontId="9" fillId="9" borderId="20" xfId="0" applyFont="1" applyFill="1" applyBorder="1" applyAlignment="1" applyProtection="1">
      <alignment horizontal="center"/>
    </xf>
    <xf numFmtId="0" fontId="2" fillId="9" borderId="20" xfId="0" applyFont="1" applyFill="1" applyBorder="1" applyAlignment="1" applyProtection="1">
      <alignment horizontal="center"/>
    </xf>
    <xf numFmtId="0" fontId="9" fillId="11" borderId="20" xfId="0" applyFont="1" applyFill="1" applyBorder="1" applyAlignment="1" applyProtection="1">
      <alignment horizontal="center"/>
    </xf>
    <xf numFmtId="0" fontId="2" fillId="11" borderId="20" xfId="0" applyFont="1" applyFill="1" applyBorder="1" applyAlignment="1" applyProtection="1">
      <alignment horizontal="center"/>
    </xf>
    <xf numFmtId="0" fontId="9" fillId="7" borderId="20" xfId="0" applyFont="1" applyFill="1" applyBorder="1" applyAlignment="1" applyProtection="1">
      <alignment horizontal="center"/>
    </xf>
    <xf numFmtId="0" fontId="2" fillId="7" borderId="20" xfId="0" applyFont="1" applyFill="1" applyBorder="1" applyAlignment="1" applyProtection="1">
      <alignment horizontal="center"/>
    </xf>
    <xf numFmtId="0" fontId="9" fillId="18" borderId="20" xfId="0" applyFont="1" applyFill="1" applyBorder="1" applyAlignment="1" applyProtection="1">
      <alignment horizontal="center"/>
    </xf>
    <xf numFmtId="0" fontId="2" fillId="18" borderId="20" xfId="0" applyFont="1" applyFill="1" applyBorder="1" applyAlignment="1" applyProtection="1">
      <alignment horizontal="center"/>
    </xf>
    <xf numFmtId="0" fontId="9" fillId="19" borderId="20" xfId="0" applyFont="1" applyFill="1" applyBorder="1" applyAlignment="1" applyProtection="1">
      <alignment horizontal="center"/>
    </xf>
    <xf numFmtId="0" fontId="2" fillId="19" borderId="20" xfId="0" applyFont="1" applyFill="1" applyBorder="1" applyAlignment="1" applyProtection="1">
      <alignment horizontal="center"/>
    </xf>
    <xf numFmtId="0" fontId="0" fillId="7" borderId="9" xfId="0" applyFill="1" applyBorder="1" applyAlignment="1">
      <alignment horizontal="center"/>
    </xf>
    <xf numFmtId="0" fontId="0" fillId="4" borderId="9" xfId="0" applyFont="1" applyFill="1" applyBorder="1" applyAlignment="1">
      <alignment horizontal="center" wrapText="1"/>
    </xf>
    <xf numFmtId="0" fontId="0" fillId="4" borderId="8" xfId="0" applyFont="1" applyFill="1" applyBorder="1" applyAlignment="1">
      <alignment horizontal="center" wrapText="1"/>
    </xf>
    <xf numFmtId="0" fontId="7" fillId="0" borderId="21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 wrapText="1"/>
    </xf>
    <xf numFmtId="0" fontId="5" fillId="5" borderId="22" xfId="0" applyFont="1" applyFill="1" applyBorder="1" applyAlignment="1">
      <alignment horizontal="center"/>
    </xf>
    <xf numFmtId="0" fontId="0" fillId="5" borderId="9" xfId="0" applyFont="1" applyFill="1" applyBorder="1"/>
    <xf numFmtId="0" fontId="0" fillId="5" borderId="8" xfId="0" applyFont="1" applyFill="1" applyBorder="1"/>
    <xf numFmtId="0" fontId="7" fillId="26" borderId="22" xfId="0" applyFont="1" applyFill="1" applyBorder="1" applyAlignment="1">
      <alignment horizontal="center"/>
    </xf>
    <xf numFmtId="0" fontId="0" fillId="26" borderId="9" xfId="0" applyFont="1" applyFill="1" applyBorder="1" applyAlignment="1">
      <alignment horizontal="center"/>
    </xf>
    <xf numFmtId="0" fontId="0" fillId="26" borderId="8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0" fillId="6" borderId="9" xfId="0" applyFont="1" applyFill="1" applyBorder="1"/>
    <xf numFmtId="0" fontId="0" fillId="8" borderId="9" xfId="0" applyFont="1" applyFill="1" applyBorder="1"/>
    <xf numFmtId="0" fontId="0" fillId="9" borderId="9" xfId="0" applyFont="1" applyFill="1" applyBorder="1"/>
    <xf numFmtId="0" fontId="5" fillId="3" borderId="2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0" fillId="6" borderId="8" xfId="0" applyFont="1" applyFill="1" applyBorder="1"/>
    <xf numFmtId="0" fontId="5" fillId="7" borderId="22" xfId="0" applyFont="1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0" fillId="8" borderId="8" xfId="0" applyFont="1" applyFill="1" applyBorder="1"/>
    <xf numFmtId="0" fontId="5" fillId="9" borderId="22" xfId="0" applyFont="1" applyFill="1" applyBorder="1" applyAlignment="1">
      <alignment horizontal="center"/>
    </xf>
    <xf numFmtId="0" fontId="0" fillId="9" borderId="8" xfId="0" applyFont="1" applyFill="1" applyBorder="1"/>
    <xf numFmtId="0" fontId="2" fillId="11" borderId="9" xfId="0" applyFont="1" applyFill="1" applyBorder="1"/>
    <xf numFmtId="0" fontId="2" fillId="11" borderId="8" xfId="0" applyFont="1" applyFill="1" applyBorder="1"/>
    <xf numFmtId="0" fontId="6" fillId="11" borderId="22" xfId="0" applyFont="1" applyFill="1" applyBorder="1" applyAlignment="1">
      <alignment horizontal="center"/>
    </xf>
    <xf numFmtId="0" fontId="0" fillId="12" borderId="9" xfId="0" applyFont="1" applyFill="1" applyBorder="1"/>
    <xf numFmtId="0" fontId="0" fillId="12" borderId="8" xfId="0" applyFont="1" applyFill="1" applyBorder="1"/>
    <xf numFmtId="0" fontId="6" fillId="12" borderId="22" xfId="0" applyFont="1" applyFill="1" applyBorder="1" applyAlignment="1">
      <alignment horizontal="center"/>
    </xf>
    <xf numFmtId="0" fontId="7" fillId="23" borderId="0" xfId="0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9" fillId="26" borderId="22" xfId="0" applyFont="1" applyFill="1" applyBorder="1" applyAlignment="1">
      <alignment horizontal="center"/>
    </xf>
    <xf numFmtId="0" fontId="10" fillId="14" borderId="1" xfId="0" applyFont="1" applyFill="1" applyBorder="1" applyAlignment="1">
      <alignment horizontal="center" vertical="top" wrapText="1"/>
    </xf>
    <xf numFmtId="0" fontId="10" fillId="0" borderId="28" xfId="0" applyFont="1" applyBorder="1" applyAlignment="1">
      <alignment horizontal="center" vertical="top" wrapText="1"/>
    </xf>
    <xf numFmtId="0" fontId="10" fillId="14" borderId="28" xfId="0" applyFont="1" applyFill="1" applyBorder="1" applyAlignment="1">
      <alignment horizontal="center" vertical="top" wrapText="1"/>
    </xf>
    <xf numFmtId="0" fontId="7" fillId="0" borderId="28" xfId="0" applyFont="1" applyBorder="1" applyAlignment="1">
      <alignment horizontal="center"/>
    </xf>
    <xf numFmtId="0" fontId="10" fillId="14" borderId="29" xfId="0" applyFont="1" applyFill="1" applyBorder="1" applyAlignment="1">
      <alignment horizontal="center" vertical="top" wrapText="1"/>
    </xf>
    <xf numFmtId="0" fontId="10" fillId="14" borderId="30" xfId="0" applyFont="1" applyFill="1" applyBorder="1" applyAlignment="1">
      <alignment horizontal="center" vertical="top" wrapText="1"/>
    </xf>
    <xf numFmtId="0" fontId="0" fillId="0" borderId="0" xfId="0" applyBorder="1"/>
    <xf numFmtId="0" fontId="0" fillId="0" borderId="20" xfId="0" applyBorder="1" applyAlignment="1">
      <alignment horizontal="center"/>
    </xf>
    <xf numFmtId="0" fontId="10" fillId="0" borderId="18" xfId="0" applyFont="1" applyBorder="1" applyAlignment="1">
      <alignment horizontal="center" vertical="top" wrapText="1"/>
    </xf>
    <xf numFmtId="0" fontId="10" fillId="14" borderId="18" xfId="0" applyFont="1" applyFill="1" applyBorder="1" applyAlignment="1">
      <alignment horizontal="center" vertical="top" wrapText="1"/>
    </xf>
    <xf numFmtId="0" fontId="7" fillId="0" borderId="18" xfId="0" applyFont="1" applyBorder="1" applyAlignment="1">
      <alignment horizontal="center"/>
    </xf>
    <xf numFmtId="0" fontId="10" fillId="14" borderId="15" xfId="0" applyFont="1" applyFill="1" applyBorder="1" applyAlignment="1">
      <alignment horizontal="center" vertical="top" wrapText="1"/>
    </xf>
    <xf numFmtId="0" fontId="10" fillId="14" borderId="12" xfId="0" applyFont="1" applyFill="1" applyBorder="1" applyAlignment="1">
      <alignment horizontal="center" vertical="top" wrapText="1"/>
    </xf>
    <xf numFmtId="0" fontId="9" fillId="13" borderId="22" xfId="0" applyFont="1" applyFill="1" applyBorder="1" applyAlignment="1">
      <alignment horizontal="center"/>
    </xf>
    <xf numFmtId="0" fontId="9" fillId="12" borderId="22" xfId="0" applyFont="1" applyFill="1" applyBorder="1" applyAlignment="1">
      <alignment horizontal="center"/>
    </xf>
    <xf numFmtId="0" fontId="2" fillId="26" borderId="24" xfId="0" applyFont="1" applyFill="1" applyBorder="1" applyAlignment="1" applyProtection="1">
      <alignment horizontal="center"/>
    </xf>
    <xf numFmtId="0" fontId="0" fillId="0" borderId="34" xfId="0" applyBorder="1" applyAlignment="1" applyProtection="1">
      <alignment horizontal="center"/>
    </xf>
    <xf numFmtId="0" fontId="0" fillId="0" borderId="34" xfId="0" applyNumberFormat="1" applyBorder="1" applyAlignment="1" applyProtection="1">
      <alignment horizontal="center"/>
    </xf>
    <xf numFmtId="0" fontId="0" fillId="0" borderId="32" xfId="0" applyFill="1" applyBorder="1" applyAlignment="1" applyProtection="1">
      <alignment horizontal="center"/>
    </xf>
    <xf numFmtId="0" fontId="9" fillId="26" borderId="1" xfId="0" applyFont="1" applyFill="1" applyBorder="1" applyAlignment="1">
      <alignment horizontal="center"/>
    </xf>
    <xf numFmtId="0" fontId="9" fillId="26" borderId="4" xfId="0" applyFont="1" applyFill="1" applyBorder="1" applyAlignment="1">
      <alignment horizontal="center"/>
    </xf>
    <xf numFmtId="0" fontId="0" fillId="26" borderId="5" xfId="0" applyFill="1" applyBorder="1"/>
    <xf numFmtId="0" fontId="2" fillId="26" borderId="5" xfId="0" applyFont="1" applyFill="1" applyBorder="1" applyAlignment="1">
      <alignment horizontal="center"/>
    </xf>
    <xf numFmtId="0" fontId="0" fillId="0" borderId="32" xfId="0" applyBorder="1" applyAlignment="1" applyProtection="1">
      <alignment horizontal="center"/>
    </xf>
    <xf numFmtId="0" fontId="9" fillId="4" borderId="22" xfId="0" applyFont="1" applyFill="1" applyBorder="1" applyAlignment="1" applyProtection="1">
      <alignment horizontal="center"/>
    </xf>
    <xf numFmtId="0" fontId="9" fillId="4" borderId="9" xfId="0" applyFont="1" applyFill="1" applyBorder="1" applyAlignment="1" applyProtection="1">
      <alignment horizontal="center"/>
    </xf>
    <xf numFmtId="0" fontId="9" fillId="4" borderId="8" xfId="0" applyFont="1" applyFill="1" applyBorder="1" applyAlignment="1" applyProtection="1">
      <alignment horizontal="center"/>
    </xf>
    <xf numFmtId="0" fontId="0" fillId="4" borderId="22" xfId="0" applyFill="1" applyBorder="1" applyAlignment="1" applyProtection="1">
      <alignment horizontal="center"/>
    </xf>
    <xf numFmtId="0" fontId="0" fillId="4" borderId="9" xfId="0" applyFill="1" applyBorder="1" applyAlignment="1" applyProtection="1">
      <alignment horizontal="center"/>
    </xf>
    <xf numFmtId="0" fontId="2" fillId="4" borderId="9" xfId="0" applyFont="1" applyFill="1" applyBorder="1" applyAlignment="1" applyProtection="1">
      <alignment horizontal="center"/>
    </xf>
    <xf numFmtId="0" fontId="2" fillId="4" borderId="8" xfId="0" applyFont="1" applyFill="1" applyBorder="1" applyAlignment="1" applyProtection="1">
      <alignment horizontal="center"/>
    </xf>
    <xf numFmtId="0" fontId="0" fillId="5" borderId="22" xfId="0" applyFont="1" applyFill="1" applyBorder="1" applyAlignment="1">
      <alignment horizontal="center"/>
    </xf>
    <xf numFmtId="0" fontId="9" fillId="6" borderId="22" xfId="0" applyFont="1" applyFill="1" applyBorder="1" applyAlignment="1" applyProtection="1">
      <alignment horizontal="center"/>
    </xf>
    <xf numFmtId="0" fontId="9" fillId="6" borderId="9" xfId="0" applyFont="1" applyFill="1" applyBorder="1" applyAlignment="1" applyProtection="1">
      <alignment horizontal="center"/>
    </xf>
    <xf numFmtId="0" fontId="9" fillId="6" borderId="8" xfId="0" applyFont="1" applyFill="1" applyBorder="1" applyAlignment="1" applyProtection="1">
      <alignment horizontal="center"/>
    </xf>
    <xf numFmtId="0" fontId="2" fillId="6" borderId="22" xfId="0" applyFont="1" applyFill="1" applyBorder="1" applyAlignment="1" applyProtection="1">
      <alignment horizontal="center"/>
    </xf>
    <xf numFmtId="0" fontId="2" fillId="6" borderId="9" xfId="0" applyFont="1" applyFill="1" applyBorder="1" applyAlignment="1" applyProtection="1">
      <alignment horizontal="center"/>
    </xf>
    <xf numFmtId="0" fontId="0" fillId="6" borderId="9" xfId="0" applyFont="1" applyFill="1" applyBorder="1" applyAlignment="1" applyProtection="1">
      <alignment horizontal="center"/>
    </xf>
    <xf numFmtId="0" fontId="2" fillId="6" borderId="8" xfId="0" applyFont="1" applyFill="1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0" fillId="0" borderId="32" xfId="0" applyFont="1" applyFill="1" applyBorder="1" applyAlignment="1" applyProtection="1">
      <alignment horizontal="center"/>
    </xf>
    <xf numFmtId="0" fontId="9" fillId="7" borderId="22" xfId="0" applyFont="1" applyFill="1" applyBorder="1" applyAlignment="1" applyProtection="1">
      <alignment horizontal="center"/>
    </xf>
    <xf numFmtId="0" fontId="9" fillId="7" borderId="9" xfId="0" applyFont="1" applyFill="1" applyBorder="1" applyAlignment="1" applyProtection="1">
      <alignment horizontal="center"/>
    </xf>
    <xf numFmtId="0" fontId="9" fillId="7" borderId="8" xfId="0" applyFont="1" applyFill="1" applyBorder="1" applyAlignment="1" applyProtection="1">
      <alignment horizontal="center"/>
    </xf>
    <xf numFmtId="0" fontId="0" fillId="0" borderId="34" xfId="0" applyFill="1" applyBorder="1" applyAlignment="1" applyProtection="1">
      <alignment horizontal="center"/>
    </xf>
    <xf numFmtId="0" fontId="0" fillId="0" borderId="34" xfId="0" applyFont="1" applyFill="1" applyBorder="1" applyAlignment="1" applyProtection="1">
      <alignment horizontal="center"/>
    </xf>
    <xf numFmtId="0" fontId="2" fillId="7" borderId="22" xfId="0" applyFont="1" applyFill="1" applyBorder="1" applyAlignment="1" applyProtection="1">
      <alignment horizontal="center"/>
    </xf>
    <xf numFmtId="0" fontId="2" fillId="7" borderId="9" xfId="0" applyFont="1" applyFill="1" applyBorder="1" applyAlignment="1" applyProtection="1">
      <alignment horizontal="center"/>
    </xf>
    <xf numFmtId="0" fontId="2" fillId="7" borderId="8" xfId="0" applyFont="1" applyFill="1" applyBorder="1" applyAlignment="1" applyProtection="1">
      <alignment horizontal="center"/>
    </xf>
    <xf numFmtId="0" fontId="0" fillId="0" borderId="31" xfId="0" applyFill="1" applyBorder="1" applyAlignment="1" applyProtection="1">
      <alignment horizontal="center"/>
    </xf>
    <xf numFmtId="0" fontId="7" fillId="0" borderId="36" xfId="0" applyFont="1" applyFill="1" applyBorder="1" applyAlignment="1" applyProtection="1">
      <alignment horizontal="center"/>
    </xf>
    <xf numFmtId="0" fontId="9" fillId="8" borderId="22" xfId="0" applyFont="1" applyFill="1" applyBorder="1" applyAlignment="1" applyProtection="1">
      <alignment horizontal="center"/>
    </xf>
    <xf numFmtId="0" fontId="9" fillId="8" borderId="9" xfId="0" applyFont="1" applyFill="1" applyBorder="1" applyAlignment="1" applyProtection="1">
      <alignment horizontal="center"/>
    </xf>
    <xf numFmtId="0" fontId="9" fillId="8" borderId="8" xfId="0" applyFont="1" applyFill="1" applyBorder="1" applyAlignment="1" applyProtection="1">
      <alignment horizontal="center"/>
    </xf>
    <xf numFmtId="0" fontId="7" fillId="0" borderId="37" xfId="0" applyFont="1" applyFill="1" applyBorder="1" applyAlignment="1" applyProtection="1">
      <alignment horizontal="center"/>
    </xf>
    <xf numFmtId="0" fontId="0" fillId="8" borderId="22" xfId="0" applyFill="1" applyBorder="1" applyAlignment="1" applyProtection="1">
      <alignment horizontal="center"/>
    </xf>
    <xf numFmtId="0" fontId="0" fillId="8" borderId="9" xfId="0" applyFill="1" applyBorder="1" applyAlignment="1" applyProtection="1">
      <alignment horizontal="center"/>
    </xf>
    <xf numFmtId="0" fontId="2" fillId="8" borderId="9" xfId="0" applyFont="1" applyFill="1" applyBorder="1" applyAlignment="1" applyProtection="1">
      <alignment horizontal="center"/>
    </xf>
    <xf numFmtId="0" fontId="2" fillId="8" borderId="8" xfId="0" applyFont="1" applyFill="1" applyBorder="1" applyAlignment="1" applyProtection="1">
      <alignment horizontal="center"/>
    </xf>
    <xf numFmtId="0" fontId="9" fillId="9" borderId="22" xfId="0" applyFont="1" applyFill="1" applyBorder="1" applyAlignment="1" applyProtection="1">
      <alignment horizontal="center"/>
    </xf>
    <xf numFmtId="0" fontId="9" fillId="9" borderId="9" xfId="0" applyFont="1" applyFill="1" applyBorder="1" applyAlignment="1" applyProtection="1">
      <alignment horizontal="center"/>
    </xf>
    <xf numFmtId="0" fontId="9" fillId="21" borderId="8" xfId="0" applyFont="1" applyFill="1" applyBorder="1" applyAlignment="1" applyProtection="1">
      <alignment horizontal="center"/>
    </xf>
    <xf numFmtId="0" fontId="0" fillId="0" borderId="31" xfId="0" applyFont="1" applyFill="1" applyBorder="1" applyAlignment="1" applyProtection="1">
      <alignment horizontal="center"/>
    </xf>
    <xf numFmtId="0" fontId="2" fillId="9" borderId="22" xfId="0" applyFont="1" applyFill="1" applyBorder="1" applyAlignment="1" applyProtection="1">
      <alignment horizontal="center"/>
    </xf>
    <xf numFmtId="0" fontId="2" fillId="9" borderId="9" xfId="0" applyFont="1" applyFill="1" applyBorder="1" applyAlignment="1" applyProtection="1">
      <alignment horizontal="center"/>
    </xf>
    <xf numFmtId="0" fontId="2" fillId="9" borderId="8" xfId="0" applyFont="1" applyFill="1" applyBorder="1" applyAlignment="1" applyProtection="1">
      <alignment horizontal="center"/>
    </xf>
    <xf numFmtId="0" fontId="9" fillId="24" borderId="22" xfId="0" applyFont="1" applyFill="1" applyBorder="1" applyAlignment="1" applyProtection="1">
      <alignment horizontal="center"/>
    </xf>
    <xf numFmtId="0" fontId="9" fillId="24" borderId="9" xfId="0" applyFont="1" applyFill="1" applyBorder="1" applyAlignment="1" applyProtection="1">
      <alignment horizontal="center"/>
    </xf>
    <xf numFmtId="0" fontId="9" fillId="24" borderId="8" xfId="0" applyFont="1" applyFill="1" applyBorder="1" applyAlignment="1" applyProtection="1">
      <alignment horizontal="center"/>
    </xf>
    <xf numFmtId="0" fontId="0" fillId="24" borderId="22" xfId="0" applyFill="1" applyBorder="1" applyAlignment="1" applyProtection="1">
      <alignment horizontal="center"/>
    </xf>
    <xf numFmtId="0" fontId="0" fillId="24" borderId="9" xfId="0" applyFill="1" applyBorder="1" applyAlignment="1" applyProtection="1">
      <alignment horizontal="center"/>
    </xf>
    <xf numFmtId="0" fontId="2" fillId="24" borderId="9" xfId="0" applyFont="1" applyFill="1" applyBorder="1" applyAlignment="1" applyProtection="1">
      <alignment horizontal="center"/>
    </xf>
    <xf numFmtId="0" fontId="2" fillId="24" borderId="8" xfId="0" applyFont="1" applyFill="1" applyBorder="1" applyAlignment="1" applyProtection="1">
      <alignment horizontal="center"/>
    </xf>
    <xf numFmtId="0" fontId="9" fillId="11" borderId="22" xfId="0" applyFont="1" applyFill="1" applyBorder="1" applyAlignment="1" applyProtection="1">
      <alignment horizontal="center"/>
    </xf>
    <xf numFmtId="0" fontId="9" fillId="11" borderId="9" xfId="0" applyFont="1" applyFill="1" applyBorder="1" applyAlignment="1" applyProtection="1">
      <alignment horizontal="center"/>
    </xf>
    <xf numFmtId="0" fontId="9" fillId="22" borderId="8" xfId="0" applyFont="1" applyFill="1" applyBorder="1" applyAlignment="1" applyProtection="1">
      <alignment horizontal="center"/>
    </xf>
    <xf numFmtId="0" fontId="0" fillId="0" borderId="34" xfId="0" applyNumberFormat="1" applyFont="1" applyFill="1" applyBorder="1" applyAlignment="1" applyProtection="1">
      <alignment horizontal="center"/>
    </xf>
    <xf numFmtId="0" fontId="2" fillId="11" borderId="22" xfId="0" applyFont="1" applyFill="1" applyBorder="1" applyAlignment="1" applyProtection="1">
      <alignment horizontal="center"/>
    </xf>
    <xf numFmtId="0" fontId="2" fillId="11" borderId="9" xfId="0" applyFont="1" applyFill="1" applyBorder="1" applyAlignment="1" applyProtection="1">
      <alignment horizontal="center"/>
    </xf>
    <xf numFmtId="0" fontId="2" fillId="11" borderId="8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center"/>
    </xf>
    <xf numFmtId="0" fontId="7" fillId="0" borderId="13" xfId="0" applyFont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0" fontId="7" fillId="26" borderId="2" xfId="0" applyFont="1" applyFill="1" applyBorder="1" applyAlignment="1">
      <alignment horizontal="center"/>
    </xf>
    <xf numFmtId="0" fontId="7" fillId="26" borderId="3" xfId="0" applyFont="1" applyFill="1" applyBorder="1" applyAlignment="1">
      <alignment horizontal="center"/>
    </xf>
    <xf numFmtId="0" fontId="9" fillId="26" borderId="1" xfId="0" applyFont="1" applyFill="1" applyBorder="1" applyAlignment="1" applyProtection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9" fillId="26" borderId="2" xfId="0" applyFont="1" applyFill="1" applyBorder="1" applyAlignment="1" applyProtection="1">
      <alignment horizontal="center"/>
    </xf>
    <xf numFmtId="0" fontId="9" fillId="26" borderId="3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7" fillId="0" borderId="11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35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0" fontId="0" fillId="5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7" fillId="10" borderId="0" xfId="0" applyFont="1" applyFill="1" applyBorder="1" applyAlignment="1" applyProtection="1">
      <alignment horizontal="center"/>
    </xf>
    <xf numFmtId="0" fontId="0" fillId="26" borderId="6" xfId="0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9" fillId="10" borderId="22" xfId="0" applyFont="1" applyFill="1" applyBorder="1" applyAlignment="1">
      <alignment horizontal="center"/>
    </xf>
    <xf numFmtId="0" fontId="0" fillId="12" borderId="0" xfId="0" applyFont="1" applyFill="1" applyBorder="1" applyAlignment="1" applyProtection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20" xfId="0" applyNumberFormat="1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9" fillId="12" borderId="9" xfId="0" applyFont="1" applyFill="1" applyBorder="1" applyAlignment="1">
      <alignment horizontal="center"/>
    </xf>
    <xf numFmtId="0" fontId="9" fillId="12" borderId="8" xfId="0" applyFont="1" applyFill="1" applyBorder="1" applyAlignment="1">
      <alignment horizontal="center"/>
    </xf>
    <xf numFmtId="0" fontId="12" fillId="3" borderId="1" xfId="0" applyFont="1" applyFill="1" applyBorder="1"/>
    <xf numFmtId="0" fontId="0" fillId="0" borderId="39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40" xfId="0" applyFont="1" applyFill="1" applyBorder="1" applyAlignment="1">
      <alignment horizontal="center"/>
    </xf>
    <xf numFmtId="0" fontId="14" fillId="3" borderId="2" xfId="0" applyFont="1" applyFill="1" applyBorder="1"/>
    <xf numFmtId="0" fontId="14" fillId="3" borderId="3" xfId="0" applyFont="1" applyFill="1" applyBorder="1"/>
    <xf numFmtId="0" fontId="0" fillId="14" borderId="0" xfId="0" applyFont="1" applyFill="1" applyBorder="1"/>
    <xf numFmtId="0" fontId="0" fillId="14" borderId="13" xfId="0" applyFont="1" applyFill="1" applyBorder="1" applyAlignment="1"/>
    <xf numFmtId="0" fontId="0" fillId="14" borderId="0" xfId="0" applyFont="1" applyFill="1" applyBorder="1" applyAlignment="1"/>
    <xf numFmtId="0" fontId="0" fillId="14" borderId="29" xfId="0" applyFont="1" applyFill="1" applyBorder="1" applyAlignment="1">
      <alignment horizontal="center"/>
    </xf>
    <xf numFmtId="0" fontId="0" fillId="0" borderId="29" xfId="0" applyFont="1" applyBorder="1"/>
    <xf numFmtId="0" fontId="0" fillId="0" borderId="29" xfId="0" applyFont="1" applyBorder="1" applyAlignment="1">
      <alignment horizontal="center"/>
    </xf>
    <xf numFmtId="0" fontId="0" fillId="14" borderId="29" xfId="0" applyFont="1" applyFill="1" applyBorder="1"/>
    <xf numFmtId="0" fontId="0" fillId="0" borderId="38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14" borderId="38" xfId="0" applyFont="1" applyFill="1" applyBorder="1" applyAlignment="1">
      <alignment horizontal="center"/>
    </xf>
    <xf numFmtId="0" fontId="13" fillId="3" borderId="22" xfId="0" applyFont="1" applyFill="1" applyBorder="1"/>
    <xf numFmtId="0" fontId="0" fillId="3" borderId="9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12" fillId="3" borderId="13" xfId="0" applyFont="1" applyFill="1" applyBorder="1"/>
    <xf numFmtId="0" fontId="14" fillId="3" borderId="0" xfId="0" applyFont="1" applyFill="1" applyBorder="1"/>
    <xf numFmtId="0" fontId="14" fillId="3" borderId="11" xfId="0" applyFont="1" applyFill="1" applyBorder="1"/>
    <xf numFmtId="0" fontId="0" fillId="14" borderId="22" xfId="0" applyFont="1" applyFill="1" applyBorder="1" applyAlignment="1">
      <alignment shrinkToFit="1"/>
    </xf>
    <xf numFmtId="0" fontId="0" fillId="0" borderId="22" xfId="0" applyFont="1" applyBorder="1" applyAlignment="1">
      <alignment shrinkToFit="1"/>
    </xf>
    <xf numFmtId="0" fontId="0" fillId="0" borderId="13" xfId="0" applyFont="1" applyBorder="1"/>
    <xf numFmtId="0" fontId="0" fillId="14" borderId="3" xfId="0" applyFont="1" applyFill="1" applyBorder="1" applyAlignment="1">
      <alignment horizontal="center"/>
    </xf>
    <xf numFmtId="0" fontId="0" fillId="14" borderId="1" xfId="0" applyFont="1" applyFill="1" applyBorder="1" applyAlignment="1">
      <alignment horizontal="left"/>
    </xf>
    <xf numFmtId="0" fontId="0" fillId="14" borderId="3" xfId="0" applyFont="1" applyFill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14" borderId="13" xfId="0" applyFont="1" applyFill="1" applyBorder="1" applyAlignment="1">
      <alignment horizontal="left"/>
    </xf>
    <xf numFmtId="0" fontId="0" fillId="14" borderId="11" xfId="0" applyFont="1" applyFill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14" borderId="3" xfId="0" applyFont="1" applyFill="1" applyBorder="1" applyAlignment="1" applyProtection="1">
      <alignment horizontal="center"/>
      <protection locked="0"/>
    </xf>
    <xf numFmtId="0" fontId="0" fillId="0" borderId="38" xfId="0" applyFont="1" applyBorder="1" applyAlignment="1" applyProtection="1">
      <alignment horizontal="center"/>
      <protection locked="0"/>
    </xf>
    <xf numFmtId="0" fontId="0" fillId="14" borderId="38" xfId="0" applyFont="1" applyFill="1" applyBorder="1" applyAlignment="1" applyProtection="1">
      <alignment horizontal="center"/>
      <protection locked="0"/>
    </xf>
    <xf numFmtId="0" fontId="0" fillId="0" borderId="42" xfId="0" applyFont="1" applyBorder="1" applyAlignment="1" applyProtection="1">
      <alignment horizontal="center"/>
      <protection locked="0"/>
    </xf>
    <xf numFmtId="0" fontId="0" fillId="14" borderId="42" xfId="0" applyFont="1" applyFill="1" applyBorder="1" applyAlignment="1" applyProtection="1">
      <alignment horizontal="center"/>
      <protection locked="0"/>
    </xf>
    <xf numFmtId="0" fontId="0" fillId="0" borderId="26" xfId="0" applyFont="1" applyBorder="1" applyAlignment="1" applyProtection="1">
      <alignment horizontal="center"/>
      <protection locked="0"/>
    </xf>
    <xf numFmtId="0" fontId="0" fillId="0" borderId="1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14" borderId="22" xfId="0" applyFont="1" applyFill="1" applyBorder="1" applyAlignment="1" applyProtection="1">
      <alignment horizontal="left"/>
      <protection locked="0"/>
    </xf>
    <xf numFmtId="0" fontId="0" fillId="0" borderId="22" xfId="0" applyFont="1" applyBorder="1" applyAlignment="1" applyProtection="1">
      <alignment horizontal="left"/>
      <protection locked="0"/>
    </xf>
    <xf numFmtId="0" fontId="0" fillId="14" borderId="9" xfId="0" applyFont="1" applyFill="1" applyBorder="1" applyAlignment="1" applyProtection="1">
      <alignment horizontal="left"/>
    </xf>
    <xf numFmtId="0" fontId="0" fillId="14" borderId="8" xfId="0" applyFont="1" applyFill="1" applyBorder="1" applyAlignment="1" applyProtection="1">
      <alignment horizontal="left"/>
    </xf>
    <xf numFmtId="0" fontId="0" fillId="0" borderId="9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164" fontId="0" fillId="0" borderId="38" xfId="0" applyNumberFormat="1" applyFont="1" applyBorder="1" applyAlignment="1" applyProtection="1">
      <alignment horizontal="center"/>
      <protection locked="0"/>
    </xf>
    <xf numFmtId="0" fontId="15" fillId="0" borderId="22" xfId="0" applyFont="1" applyFill="1" applyBorder="1" applyAlignment="1" applyProtection="1">
      <alignment horizontal="center"/>
    </xf>
    <xf numFmtId="0" fontId="15" fillId="0" borderId="8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1" xfId="0" applyFont="1" applyBorder="1" applyAlignment="1" applyProtection="1">
      <alignment horizontal="center"/>
      <protection locked="0"/>
    </xf>
    <xf numFmtId="0" fontId="0" fillId="0" borderId="12" xfId="0" applyFont="1" applyBorder="1" applyAlignment="1" applyProtection="1">
      <alignment horizontal="center"/>
      <protection locked="0"/>
    </xf>
    <xf numFmtId="0" fontId="0" fillId="0" borderId="13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0" fontId="0" fillId="0" borderId="16" xfId="0" applyFont="1" applyBorder="1" applyAlignment="1" applyProtection="1">
      <alignment horizontal="center"/>
      <protection locked="0"/>
    </xf>
    <xf numFmtId="0" fontId="0" fillId="0" borderId="11" xfId="0" applyFont="1" applyFill="1" applyBorder="1" applyAlignment="1" applyProtection="1">
      <alignment horizontal="center"/>
      <protection locked="0"/>
    </xf>
    <xf numFmtId="0" fontId="0" fillId="0" borderId="12" xfId="0" applyFont="1" applyFill="1" applyBorder="1" applyAlignment="1" applyProtection="1">
      <alignment horizontal="center"/>
      <protection locked="0"/>
    </xf>
    <xf numFmtId="0" fontId="0" fillId="0" borderId="13" xfId="0" applyFont="1" applyFill="1" applyBorder="1" applyAlignment="1" applyProtection="1">
      <alignment horizontal="center"/>
      <protection locked="0"/>
    </xf>
    <xf numFmtId="0" fontId="7" fillId="0" borderId="14" xfId="0" applyFont="1" applyFill="1" applyBorder="1" applyAlignment="1" applyProtection="1">
      <alignment horizontal="center"/>
      <protection locked="0"/>
    </xf>
    <xf numFmtId="0" fontId="7" fillId="0" borderId="15" xfId="0" applyFont="1" applyFill="1" applyBorder="1" applyAlignment="1" applyProtection="1">
      <alignment horizontal="center"/>
      <protection locked="0"/>
    </xf>
    <xf numFmtId="0" fontId="7" fillId="0" borderId="16" xfId="0" applyFont="1" applyFill="1" applyBorder="1" applyAlignment="1" applyProtection="1">
      <alignment horizontal="center"/>
      <protection locked="0"/>
    </xf>
    <xf numFmtId="0" fontId="7" fillId="0" borderId="10" xfId="0" applyFont="1" applyFill="1" applyBorder="1" applyAlignment="1" applyProtection="1">
      <alignment horizontal="center"/>
      <protection locked="0"/>
    </xf>
    <xf numFmtId="0" fontId="7" fillId="0" borderId="17" xfId="0" applyFont="1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15" xfId="0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 vertical="top" wrapText="1"/>
      <protection locked="0"/>
    </xf>
    <xf numFmtId="0" fontId="10" fillId="14" borderId="19" xfId="0" applyFont="1" applyFill="1" applyBorder="1" applyAlignment="1" applyProtection="1">
      <alignment horizontal="center" vertical="top" wrapText="1"/>
      <protection locked="0"/>
    </xf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</cellXfs>
  <cellStyles count="1">
    <cellStyle name="Normal" xfId="0" builtinId="0"/>
  </cellStyles>
  <dxfs count="2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medium">
          <color indexed="64"/>
        </lef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0000"/>
        </patternFill>
      </fill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  <protection locked="1" hidden="0"/>
    </dxf>
    <dxf>
      <border outline="0"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99CC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499984740745262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0"/>
    </dxf>
    <dxf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8" tint="0.5999938962981048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00B0F0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alignment horizontal="center" textRotation="0" indent="0" justifyLastLine="0" shrinkToFit="0" readingOrder="0"/>
      <protection locked="1" hidden="0"/>
    </dxf>
    <dxf>
      <alignment horizontal="center" textRotation="0" indent="0" justifyLastLine="0" shrinkToFit="0" readingOrder="0"/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0"/>
    </dxf>
    <dxf>
      <alignment horizont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8" tint="0.39997558519241921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top" textRotation="0" wrapText="1" indent="0" justifyLastLine="0" shrinkToFit="0" readingOrder="0"/>
      <protection locked="1" hidden="0"/>
    </dxf>
    <dxf>
      <border outline="0">
        <top style="thin">
          <color theme="4" tint="0.39997558519241921"/>
        </top>
      </border>
    </dxf>
    <dxf>
      <alignment horizontal="center" textRotation="0" indent="0" justifyLastLine="0" shrinkToFit="0" readingOrder="0"/>
      <protection locked="1" hidden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0"/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fill>
        <patternFill patternType="none"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fill>
        <patternFill patternType="none"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bgColor auto="1"/>
        </patternFill>
      </fill>
      <alignment horizont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1" hidden="0"/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bgColor auto="1"/>
        </patternFill>
      </fill>
      <alignment horizontal="center" textRotation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00B050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0"/>
    </dxf>
    <dxf>
      <alignment horizontal="center" textRotation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00B050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00B0F0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99CCFF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3300"/>
        </patternFill>
      </fill>
      <alignment horizontal="center" vertical="bottom" textRotation="0" wrapText="0" indent="0" justifyLastLine="0" shrinkToFit="0" readingOrder="0"/>
      <protection locked="1" hidden="0"/>
    </dxf>
    <dxf>
      <alignment horizontal="center" textRotation="0" indent="0" justifyLastLine="0" shrinkToFit="0" readingOrder="0"/>
      <border diagonalUp="0" diagonalDown="0">
        <left style="medium">
          <color indexed="64"/>
        </left>
        <right/>
        <top/>
        <bottom/>
      </border>
    </dxf>
    <dxf>
      <alignment horizont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alignment horizont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alignment horizont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alignment horizont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auto="1"/>
        </top>
        <bottom style="medium">
          <color auto="1"/>
        </bottom>
      </border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textRotation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9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auto="1"/>
        </top>
        <bottom style="medium">
          <color auto="1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9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textRotation="0" indent="0" justifyLastLine="0" shrinkToFit="0" readingOrder="0"/>
      <border diagonalUp="0" diagonalDown="0">
        <left style="medium">
          <color indexed="64"/>
        </left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auto="1"/>
        </top>
        <bottom style="medium">
          <color auto="1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textRotation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9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Energy Distribution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'IPNZ Internal'!$X$2</c:f>
              <c:strCache>
                <c:ptCount val="1"/>
                <c:pt idx="0">
                  <c:v>LIGHTS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'IPNZ Internal'!$X$3</c:f>
              <c:strCache>
                <c:ptCount val="1"/>
                <c:pt idx="0">
                  <c:v>ENTERTAINMENT EQUIPMENT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'IPNZ Internal'!$X$4</c:f>
              <c:strCache>
                <c:ptCount val="1"/>
                <c:pt idx="0">
                  <c:v>MEDICAL EQUIPMENT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'IPNZ Internal'!$X$5</c:f>
              <c:strCache>
                <c:ptCount val="1"/>
                <c:pt idx="0">
                  <c:v>IT EQUIPMENTS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'IPNZ Internal'!$X$6</c:f>
              <c:strCache>
                <c:ptCount val="1"/>
                <c:pt idx="0">
                  <c:v>COOKING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tx>
            <c:strRef>
              <c:f>'IPNZ Internal'!$X$7</c:f>
              <c:strCache>
                <c:ptCount val="1"/>
                <c:pt idx="0">
                  <c:v>FRIDGE/FREEZER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tx>
            <c:strRef>
              <c:f>'IPNZ Internal'!$X$8</c:f>
              <c:strCache>
                <c:ptCount val="1"/>
                <c:pt idx="0">
                  <c:v>GENERAL APPLIANCES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7"/>
          <c:order val="7"/>
          <c:tx>
            <c:strRef>
              <c:f>'IPNZ Internal'!$X$9</c:f>
              <c:strCache>
                <c:ptCount val="1"/>
                <c:pt idx="0">
                  <c:v>HEATING &amp; COOLING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8"/>
          <c:order val="8"/>
          <c:tx>
            <c:strRef>
              <c:f>'IPNZ Internal'!$X$10</c:f>
              <c:strCache>
                <c:ptCount val="1"/>
                <c:pt idx="0">
                  <c:v>WASHER &amp; DRYER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9"/>
          <c:order val="9"/>
          <c:tx>
            <c:strRef>
              <c:f>'IPNZ Internal'!$X$11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'IPNZ Internal'!$X$12</c:f>
              <c:strCache>
                <c:ptCount val="1"/>
                <c:pt idx="0">
                  <c:v>POWER TOOLS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cat>
          <c:val>
            <c:numRef>
              <c:f>'IPNZ Internal'!$Y$12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46944056"/>
        <c:axId val="246944448"/>
      </c:barChart>
      <c:catAx>
        <c:axId val="246944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46944448"/>
        <c:crosses val="autoZero"/>
        <c:auto val="1"/>
        <c:lblAlgn val="ctr"/>
        <c:lblOffset val="100"/>
        <c:noMultiLvlLbl val="0"/>
      </c:catAx>
      <c:valAx>
        <c:axId val="24694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944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Energy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'IPNZ Internal'!$Y$1</c:f>
              <c:strCache>
                <c:ptCount val="1"/>
                <c:pt idx="0">
                  <c:v>Wattage</c:v>
                </c:pt>
              </c:strCache>
            </c:strRef>
          </c:tx>
          <c:dPt>
            <c:idx val="0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5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6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7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8"/>
            <c:bubble3D val="0"/>
            <c:spPr>
              <a:solidFill>
                <a:srgbClr val="00B0F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9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cat>
            <c:strRef>
              <c:f>'IPNZ Internal'!$X$2:$X$12</c:f>
              <c:strCache>
                <c:ptCount val="11"/>
                <c:pt idx="0">
                  <c:v>LIGHTS</c:v>
                </c:pt>
                <c:pt idx="1">
                  <c:v>ENTERTAINMENT EQUIPMENT</c:v>
                </c:pt>
                <c:pt idx="2">
                  <c:v>MEDICAL EQUIPMENT</c:v>
                </c:pt>
                <c:pt idx="3">
                  <c:v>IT EQUIPMENTS</c:v>
                </c:pt>
                <c:pt idx="4">
                  <c:v>COOKING</c:v>
                </c:pt>
                <c:pt idx="5">
                  <c:v>FRIDGE/FREEZER</c:v>
                </c:pt>
                <c:pt idx="6">
                  <c:v>GENERAL APPLIANCES</c:v>
                </c:pt>
                <c:pt idx="7">
                  <c:v>HEATING &amp; COOLING</c:v>
                </c:pt>
                <c:pt idx="8">
                  <c:v>WASHER &amp; DRYER</c:v>
                </c:pt>
                <c:pt idx="9">
                  <c:v>PUMPS</c:v>
                </c:pt>
                <c:pt idx="10">
                  <c:v>POWER TOOLS</c:v>
                </c:pt>
              </c:strCache>
            </c:strRef>
          </c:cat>
          <c:val>
            <c:numRef>
              <c:f>'IPNZ Internal'!$Y$2:$Y$12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804696</xdr:colOff>
      <xdr:row>1</xdr:row>
      <xdr:rowOff>38100</xdr:rowOff>
    </xdr:from>
    <xdr:to>
      <xdr:col>4</xdr:col>
      <xdr:colOff>424962</xdr:colOff>
      <xdr:row>6</xdr:row>
      <xdr:rowOff>185611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696" y="38100"/>
          <a:ext cx="3613439" cy="11000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14</xdr:row>
      <xdr:rowOff>174172</xdr:rowOff>
    </xdr:from>
    <xdr:to>
      <xdr:col>25</xdr:col>
      <xdr:colOff>19049</xdr:colOff>
      <xdr:row>36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1743076</xdr:colOff>
      <xdr:row>0</xdr:row>
      <xdr:rowOff>66674</xdr:rowOff>
    </xdr:from>
    <xdr:to>
      <xdr:col>6</xdr:col>
      <xdr:colOff>457352</xdr:colOff>
      <xdr:row>7</xdr:row>
      <xdr:rowOff>133350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3076" y="66674"/>
          <a:ext cx="5381776" cy="1419226"/>
        </a:xfrm>
        <a:prstGeom prst="rect">
          <a:avLst/>
        </a:prstGeom>
        <a:ln w="28575">
          <a:solidFill>
            <a:schemeClr val="tx1"/>
          </a:solidFill>
        </a:ln>
      </xdr:spPr>
    </xdr:pic>
    <xdr:clientData/>
  </xdr:twoCellAnchor>
  <xdr:twoCellAnchor>
    <xdr:from>
      <xdr:col>23</xdr:col>
      <xdr:colOff>9525</xdr:colOff>
      <xdr:row>37</xdr:row>
      <xdr:rowOff>38100</xdr:rowOff>
    </xdr:from>
    <xdr:to>
      <xdr:col>25</xdr:col>
      <xdr:colOff>28574</xdr:colOff>
      <xdr:row>59</xdr:row>
      <xdr:rowOff>44903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5" name="Table25" displayName="Table25" ref="B11:E17" totalsRowShown="0" tableBorderDxfId="225">
  <autoFilter ref="B11:E17"/>
  <tableColumns count="4">
    <tableColumn id="1" name="Column1" dataDxfId="224"/>
    <tableColumn id="2" name="Column2" dataDxfId="223"/>
    <tableColumn id="3" name="Column3" dataDxfId="222"/>
    <tableColumn id="4" name="Column4" dataDxfId="221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Table1119" displayName="Table1119" ref="K45:M73" totalsRowShown="0" headerRowDxfId="157" dataDxfId="156">
  <sortState ref="K46:M67">
    <sortCondition ref="K37:K59"/>
  </sortState>
  <tableColumns count="3">
    <tableColumn id="1" name="GENERAL APPLIANCES" dataDxfId="155"/>
    <tableColumn id="2" name="Load (W)" dataDxfId="154"/>
    <tableColumn id="3" name="Surge" dataDxfId="15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0" name="Table1220" displayName="Table1220" ref="N45:P64" totalsRowShown="0" headerRowDxfId="152" dataDxfId="151">
  <sortState ref="N46:O69">
    <sortCondition ref="N34:N58"/>
  </sortState>
  <tableColumns count="3">
    <tableColumn id="1" name="FRIDGE/FREEZER" dataDxfId="150"/>
    <tableColumn id="2" name="Annual Consumption" dataDxfId="149"/>
    <tableColumn id="3" name="Make" dataDxfId="148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1" name="Table1321" displayName="Table1321" ref="Q46:S65" totalsRowShown="0" headerRowDxfId="147" dataDxfId="146">
  <sortState ref="Q47:S72">
    <sortCondition ref="Q39:Q65"/>
  </sortState>
  <tableColumns count="3">
    <tableColumn id="1" name="HEATING &amp; COOLING" dataDxfId="145"/>
    <tableColumn id="2" name="Load (W)" dataDxfId="144"/>
    <tableColumn id="3" name="Surge" dataDxfId="143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2" name="Table22" displayName="Table22" ref="A9:H23" totalsRowShown="0" headerRowDxfId="142" dataDxfId="140" headerRowBorderDxfId="141">
  <tableColumns count="8">
    <tableColumn id="1" name="LIGHTS" dataDxfId="139"/>
    <tableColumn id="2" name="Load (W)" dataDxfId="138">
      <calculatedColumnFormula>IF('Client Load Sheet'!C5&gt;0,'Client Load Sheet'!C5,(VLOOKUP(A10,Table816[],2,FALSE)))</calculatedColumnFormula>
    </tableColumn>
    <tableColumn id="3" name="Quantity" dataDxfId="137">
      <calculatedColumnFormula>'Client Load Sheet'!B5</calculatedColumnFormula>
    </tableColumn>
    <tableColumn id="4" name="Hrs/Day" dataDxfId="136">
      <calculatedColumnFormula>'Client Load Sheet'!E5</calculatedColumnFormula>
    </tableColumn>
    <tableColumn id="5" name="Days/Week" dataDxfId="135">
      <calculatedColumnFormula>'Client Load Sheet'!F5</calculatedColumnFormula>
    </tableColumn>
    <tableColumn id="6" name="Surge" dataDxfId="134">
      <calculatedColumnFormula>VLOOKUP(Table22[[#This Row],[LIGHTS]],Table816[],3,FALSE)</calculatedColumnFormula>
    </tableColumn>
    <tableColumn id="7" name="Weekly Total" dataDxfId="133">
      <calculatedColumnFormula>B10*C10*D10*E10</calculatedColumnFormula>
    </tableColumn>
    <tableColumn id="8" name="Daily Total" dataDxfId="132">
      <calculatedColumnFormula>ROUNDUP(G10/7,0)</calculatedColumnFormula>
    </tableColumn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4" name="Table27" displayName="Table27" ref="A58:H94" totalsRowShown="0" headerRowDxfId="131" dataDxfId="129" headerRowBorderDxfId="130">
  <tableColumns count="8">
    <tableColumn id="1" name="COOKING" dataDxfId="128"/>
    <tableColumn id="2" name="Load (W)" dataDxfId="127">
      <calculatedColumnFormula>IF('Client Load Sheet'!C52&gt;0,'Client Load Sheet'!C52,VLOOKUP(A59,Table1018[],2,FALSE))</calculatedColumnFormula>
    </tableColumn>
    <tableColumn id="3" name="Quantity" dataDxfId="126">
      <calculatedColumnFormula>'Client Load Sheet'!B52</calculatedColumnFormula>
    </tableColumn>
    <tableColumn id="4" name="Hrs/Day" dataDxfId="125">
      <calculatedColumnFormula>'Client Load Sheet'!E52</calculatedColumnFormula>
    </tableColumn>
    <tableColumn id="5" name="Days/Week" dataDxfId="124">
      <calculatedColumnFormula>'Client Load Sheet'!F52</calculatedColumnFormula>
    </tableColumn>
    <tableColumn id="6" name="Surge" dataDxfId="123">
      <calculatedColumnFormula>VLOOKUP(Table27[[#This Row],[COOKING]],Table1018[],3,FALSE)</calculatedColumnFormula>
    </tableColumn>
    <tableColumn id="7" name="Weekly Total" dataDxfId="122">
      <calculatedColumnFormula>B59*C59*D59*E59</calculatedColumnFormula>
    </tableColumn>
    <tableColumn id="8" name="Daily Total" dataDxfId="121">
      <calculatedColumnFormula>ROUNDUP(G59/7,0)</calculatedColumnFormula>
    </tableColumn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Table2" displayName="Table2" ref="A128:H147" totalsRowShown="0" headerRowDxfId="120" dataDxfId="118" headerRowBorderDxfId="119" tableBorderDxfId="117">
  <tableColumns count="8">
    <tableColumn id="1" name="GENERAL APPLIANCES" dataDxfId="116"/>
    <tableColumn id="2" name="Load (W)" dataDxfId="115">
      <calculatedColumnFormula>IF('Client Load Sheet'!C120&gt;0,'Client Load Sheet'!C120,VLOOKUP(A129,Table1119[],2,FALSE))</calculatedColumnFormula>
    </tableColumn>
    <tableColumn id="3" name="Quantity" dataDxfId="114">
      <calculatedColumnFormula>'Client Load Sheet'!B120</calculatedColumnFormula>
    </tableColumn>
    <tableColumn id="4" name="Hrs/Day" dataDxfId="113">
      <calculatedColumnFormula>'Client Load Sheet'!E120</calculatedColumnFormula>
    </tableColumn>
    <tableColumn id="5" name="Days/Week" dataDxfId="112">
      <calculatedColumnFormula>'Client Load Sheet'!F120</calculatedColumnFormula>
    </tableColumn>
    <tableColumn id="6" name="Surge" dataDxfId="111">
      <calculatedColumnFormula>VLOOKUP(Table2[[#This Row],[GENERAL APPLIANCES]],Table1119[],3,FALSE)</calculatedColumnFormula>
    </tableColumn>
    <tableColumn id="7" name="Weekly Total" dataDxfId="110">
      <calculatedColumnFormula>B129*C129*D129*E129</calculatedColumnFormula>
    </tableColumn>
    <tableColumn id="8" name="Daily Total" dataDxfId="109">
      <calculatedColumnFormula>ROUNDUP(G129/7,0)</calculatedColumnFormula>
    </tableColumn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Table29" displayName="Table29" ref="A159:H178" totalsRowShown="0" headerRowDxfId="108" dataDxfId="106" headerRowBorderDxfId="107" tableBorderDxfId="105">
  <tableColumns count="8">
    <tableColumn id="1" name="HEATING &amp; COOLING" dataDxfId="104"/>
    <tableColumn id="2" name="Load (W)" dataDxfId="103">
      <calculatedColumnFormula>IF('Client Load Sheet'!C150&gt;0,'Client Load Sheet'!C150,VLOOKUP(A160,Table1321[],2,FALSE))</calculatedColumnFormula>
    </tableColumn>
    <tableColumn id="3" name="Quantity" dataDxfId="102">
      <calculatedColumnFormula>'Client Load Sheet'!B150</calculatedColumnFormula>
    </tableColumn>
    <tableColumn id="4" name="Hrs/Day" dataDxfId="101">
      <calculatedColumnFormula>'Client Load Sheet'!E150</calculatedColumnFormula>
    </tableColumn>
    <tableColumn id="5" name="Days/Week" dataDxfId="100">
      <calculatedColumnFormula>'Client Load Sheet'!F150</calculatedColumnFormula>
    </tableColumn>
    <tableColumn id="6" name="Surge" dataDxfId="99">
      <calculatedColumnFormula>VLOOKUP(Table29[[#This Row],[HEATING &amp; COOLING]],Table1321[],3,FALSE)</calculatedColumnFormula>
    </tableColumn>
    <tableColumn id="7" name="Weekly Total" dataDxfId="98">
      <calculatedColumnFormula>B160*C160*D160*E160</calculatedColumnFormula>
    </tableColumn>
    <tableColumn id="8" name="Daily Total" dataDxfId="97">
      <calculatedColumnFormula>ROUNDUP(G160/7,0)</calculatedColumnFormula>
    </tableColumn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8" name="Table31" displayName="Table31" ref="T10:V29" totalsRowShown="0" headerRowDxfId="96" dataDxfId="94" headerRowBorderDxfId="95" tableBorderDxfId="93">
  <sortState ref="T11:V51">
    <sortCondition ref="T2:T43"/>
  </sortState>
  <tableColumns count="3">
    <tableColumn id="1" name="POWER TOOLS" dataDxfId="92"/>
    <tableColumn id="2" name="Load (W)" dataDxfId="91"/>
    <tableColumn id="3" name="Surge" dataDxfId="90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9" name="Table32" displayName="Table32" ref="N65:P73" totalsRowShown="0" headerRowDxfId="89" dataDxfId="88">
  <sortState ref="N60:P67">
    <sortCondition ref="N53:N61"/>
  </sortState>
  <tableColumns count="3">
    <tableColumn id="1" name="PUMPS" dataDxfId="87"/>
    <tableColumn id="2" name="Load (W)" dataDxfId="86"/>
    <tableColumn id="3" name="Surge" dataDxfId="85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20" name="Table34" displayName="Table34" ref="A96:H106" totalsRowShown="0" headerRowDxfId="84" dataDxfId="82" headerRowBorderDxfId="83">
  <tableColumns count="8">
    <tableColumn id="1" name="WASHER &amp; DRYER" dataDxfId="81"/>
    <tableColumn id="2" name="Load (W)" dataDxfId="80">
      <calculatedColumnFormula>IF('Client Load Sheet'!C89&gt;0,'Client Load Sheet'!C89,VLOOKUP(A97,Table917[],2,FALSE))</calculatedColumnFormula>
    </tableColumn>
    <tableColumn id="3" name="Quantity" dataDxfId="79">
      <calculatedColumnFormula>'Client Load Sheet'!B89</calculatedColumnFormula>
    </tableColumn>
    <tableColumn id="4" name="Hrs/Day" dataDxfId="78">
      <calculatedColumnFormula>'Client Load Sheet'!E89</calculatedColumnFormula>
    </tableColumn>
    <tableColumn id="5" name="Days/Week" dataDxfId="77">
      <calculatedColumnFormula>'Client Load Sheet'!F89</calculatedColumnFormula>
    </tableColumn>
    <tableColumn id="6" name="Surge" dataDxfId="76">
      <calculatedColumnFormula>VLOOKUP(A97,Table917[],3,FALSE)</calculatedColumnFormula>
    </tableColumn>
    <tableColumn id="7" name="Weekly Total" dataDxfId="75">
      <calculatedColumnFormula>B97*C97*D97*E97</calculatedColumnFormula>
    </tableColumn>
    <tableColumn id="8" name="Daily Total" dataDxfId="74">
      <calculatedColumnFormula>ROUNDUP(G97/7,0)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8" displayName="Table8" ref="A99:F196" totalsRowShown="0" headerRowDxfId="220" dataDxfId="218" headerRowBorderDxfId="219" tableBorderDxfId="217">
  <tableColumns count="6">
    <tableColumn id="1" name="APPLIANCES" dataDxfId="216"/>
    <tableColumn id="2" name="QUANTITY" dataDxfId="215"/>
    <tableColumn id="3" name="WATTS" dataDxfId="214"/>
    <tableColumn id="4" name="BRAND/MODEL" dataDxfId="213"/>
    <tableColumn id="5" name="HOURS/DAY" dataDxfId="212"/>
    <tableColumn id="6" name="DAYS/WEEK" dataDxfId="211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1" name="Table35" displayName="Table35" ref="A149:H157" totalsRowShown="0" headerRowDxfId="73" dataDxfId="71" headerRowBorderDxfId="72">
  <tableColumns count="8">
    <tableColumn id="1" name="PUMPS" dataDxfId="70"/>
    <tableColumn id="2" name="Load (W)" dataDxfId="69">
      <calculatedColumnFormula>IF('Client Load Sheet'!C140&gt;0,'Client Load Sheet'!C140,VLOOKUP(A150,Table32[],2,FALSE))</calculatedColumnFormula>
    </tableColumn>
    <tableColumn id="3" name="Quantity" dataDxfId="68">
      <calculatedColumnFormula>'Client Load Sheet'!B140</calculatedColumnFormula>
    </tableColumn>
    <tableColumn id="4" name="Hrs/Day" dataDxfId="67">
      <calculatedColumnFormula>'Client Load Sheet'!E140</calculatedColumnFormula>
    </tableColumn>
    <tableColumn id="5" name="Days/Week" dataDxfId="66">
      <calculatedColumnFormula>'Client Load Sheet'!F140</calculatedColumnFormula>
    </tableColumn>
    <tableColumn id="6" name="Surge" dataDxfId="65">
      <calculatedColumnFormula>VLOOKUP(A150,Table32[],3,FALSE)</calculatedColumnFormula>
    </tableColumn>
    <tableColumn id="7" name="Weekly Total" dataDxfId="64">
      <calculatedColumnFormula>B150*C150*D150*E150</calculatedColumnFormula>
    </tableColumn>
    <tableColumn id="8" name="Daily Total" dataDxfId="63">
      <calculatedColumnFormula>ROUNDUP(G150/7,0)</calculatedColumnFormula>
    </tableColumn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2" name="Table36" displayName="Table36" ref="A189:H208" totalsRowShown="0" headerRowDxfId="62" dataDxfId="61">
  <tableColumns count="8">
    <tableColumn id="1" name="POWER TOOLS" dataDxfId="60"/>
    <tableColumn id="2" name="Load (W)" dataDxfId="59">
      <calculatedColumnFormula>IF('Client Load Sheet'!C178&gt;0,'Client Load Sheet'!C178,VLOOKUP(A190,Table31[],2,FALSE))</calculatedColumnFormula>
    </tableColumn>
    <tableColumn id="3" name="Quantity" dataDxfId="58">
      <calculatedColumnFormula>'Client Load Sheet'!B178</calculatedColumnFormula>
    </tableColumn>
    <tableColumn id="4" name="Hrs/Day" dataDxfId="57">
      <calculatedColumnFormula>'Client Load Sheet'!E178</calculatedColumnFormula>
    </tableColumn>
    <tableColumn id="5" name="Days/Week" dataDxfId="56">
      <calculatedColumnFormula>'Client Load Sheet'!F178</calculatedColumnFormula>
    </tableColumn>
    <tableColumn id="6" name="Surge" dataDxfId="55">
      <calculatedColumnFormula>VLOOKUP(A190,Table31[],3,FALSE)</calculatedColumnFormula>
    </tableColumn>
    <tableColumn id="7" name="Weekly Total" dataDxfId="54">
      <calculatedColumnFormula>B190*C190*D190*E190</calculatedColumnFormula>
    </tableColumn>
    <tableColumn id="8" name="Daily Total" dataDxfId="53">
      <calculatedColumnFormula>ROUNDUP(G190/7,0)</calculatedColumnFormula>
    </tableColumn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4" name="Table47" displayName="Table47" ref="X1:Y12" totalsRowShown="0" headerRowDxfId="52" dataDxfId="50" headerRowBorderDxfId="51" tableBorderDxfId="49" totalsRowBorderDxfId="48">
  <tableColumns count="2">
    <tableColumn id="1" name="Types" dataDxfId="47"/>
    <tableColumn id="2" name="Wattage" dataDxfId="46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Table26" displayName="Table26" ref="A108:H126" totalsRowShown="0" headerRowDxfId="45" dataDxfId="43" headerRowBorderDxfId="44">
  <tableColumns count="8">
    <tableColumn id="1" name="IT EQUIPMENTS" dataDxfId="42"/>
    <tableColumn id="2" name="Load (W)" dataDxfId="41">
      <calculatedColumnFormula>IF('Client Load Sheet'!C101&gt;0,'Client Load Sheet'!C101,VLOOKUP(A109,Table68[],2,FALSE))</calculatedColumnFormula>
    </tableColumn>
    <tableColumn id="3" name="Quantity" dataDxfId="40">
      <calculatedColumnFormula>'Client Load Sheet'!B101</calculatedColumnFormula>
    </tableColumn>
    <tableColumn id="4" name="Hrs/Day" dataDxfId="39">
      <calculatedColumnFormula>'Client Load Sheet'!E101</calculatedColumnFormula>
    </tableColumn>
    <tableColumn id="5" name="Days/Week" dataDxfId="38">
      <calculatedColumnFormula>'Client Load Sheet'!F101</calculatedColumnFormula>
    </tableColumn>
    <tableColumn id="6" name="Surge" dataDxfId="37">
      <calculatedColumnFormula>VLOOKUP(Table26[[#This Row],[IT EQUIPMENTS]],Table68[],3,FALSE)</calculatedColumnFormula>
    </tableColumn>
    <tableColumn id="7" name="Weekly Total" dataDxfId="36">
      <calculatedColumnFormula>B109*C109*D109*E109</calculatedColumnFormula>
    </tableColumn>
    <tableColumn id="8" name="Daily Total" dataDxfId="35">
      <calculatedColumnFormula>ROUNDUP(G109/7,0)</calculatedColumnFormula>
    </tableColumn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7" name="Table28" displayName="Table28" ref="A180:H187" totalsRowShown="0" headerRowDxfId="34" dataDxfId="32" headerRowBorderDxfId="33" tableBorderDxfId="31">
  <tableColumns count="8">
    <tableColumn id="1" name="FRIDGE/FREEZER" dataDxfId="30"/>
    <tableColumn id="2" name="Yearly" dataDxfId="29"/>
    <tableColumn id="3" name="Quantity" dataDxfId="28">
      <calculatedColumnFormula>'Client Load Sheet'!B170</calculatedColumnFormula>
    </tableColumn>
    <tableColumn id="4" name="Total" dataDxfId="27">
      <calculatedColumnFormula>B181*C181</calculatedColumnFormula>
    </tableColumn>
    <tableColumn id="5" name="1" dataDxfId="26"/>
    <tableColumn id="6" name="Surge" dataDxfId="25"/>
    <tableColumn id="7" name="2" dataDxfId="24"/>
    <tableColumn id="8" name="Daily Total" dataDxfId="23">
      <calculatedColumnFormula>ROUNDUP(D181/365*1000,0)</calculatedColumnFormula>
    </tableColumn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28" name="Table30" displayName="Table30" ref="A49:H56" totalsRowShown="0" headerRowDxfId="22" dataDxfId="20" headerRowBorderDxfId="21" tableBorderDxfId="19">
  <tableColumns count="8">
    <tableColumn id="1" name="MEDICAL EQUIPMENT" dataDxfId="18"/>
    <tableColumn id="2" name="Load (W)" dataDxfId="17">
      <calculatedColumnFormula>'Client Load Sheet'!C43</calculatedColumnFormula>
    </tableColumn>
    <tableColumn id="3" name="Quantity" dataDxfId="16">
      <calculatedColumnFormula>'Client Load Sheet'!B43</calculatedColumnFormula>
    </tableColumn>
    <tableColumn id="4" name="Hrs/Day" dataDxfId="15">
      <calculatedColumnFormula>'Client Load Sheet'!E43</calculatedColumnFormula>
    </tableColumn>
    <tableColumn id="5" name="Days/Week" dataDxfId="14">
      <calculatedColumnFormula>'Client Load Sheet'!F43</calculatedColumnFormula>
    </tableColumn>
    <tableColumn id="6" name="Surge" dataDxfId="13"/>
    <tableColumn id="7" name="Weekly Total" dataDxfId="12">
      <calculatedColumnFormula>B50*C50*D50*E50</calculatedColumnFormula>
    </tableColumn>
    <tableColumn id="8" name="Daily Total" dataDxfId="11">
      <calculatedColumnFormula>ROUNDUP(G50/7,0)</calculatedColumnFormula>
    </tableColumn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13" name="Table13" displayName="Table13" ref="A25:H47" totalsRowShown="0" headerRowDxfId="10" dataDxfId="9" tableBorderDxfId="8">
  <tableColumns count="8">
    <tableColumn id="1" name="ENTERTAINMENT EQUIPMENT" dataDxfId="7"/>
    <tableColumn id="2" name="Load (W)" dataDxfId="6">
      <calculatedColumnFormula>IF('Client Load Sheet'!C20&gt;0,'Client Load Sheet'!C20,VLOOKUP(A26,Table55[],2,FALSE))</calculatedColumnFormula>
    </tableColumn>
    <tableColumn id="3" name="Quantity" dataDxfId="5">
      <calculatedColumnFormula>'Client Load Sheet'!B20</calculatedColumnFormula>
    </tableColumn>
    <tableColumn id="4" name="Hrs/Day" dataDxfId="4">
      <calculatedColumnFormula>'Client Load Sheet'!E20</calculatedColumnFormula>
    </tableColumn>
    <tableColumn id="5" name="Days/Week" dataDxfId="3">
      <calculatedColumnFormula>'Client Load Sheet'!F20</calculatedColumnFormula>
    </tableColumn>
    <tableColumn id="6" name="Surge" dataDxfId="2">
      <calculatedColumnFormula>VLOOKUP('IPNZ Internal'!$A26,Table55[],3,FALSE)</calculatedColumnFormula>
    </tableColumn>
    <tableColumn id="7" name="Weekly Total" dataDxfId="1">
      <calculatedColumnFormula>B26*C26*D26*E26</calculatedColumnFormula>
    </tableColumn>
    <tableColumn id="8" name="Daily Total" dataDxfId="0">
      <calculatedColumnFormula>ROUNDUP(G26/7,0)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Table5" displayName="Table5" ref="A3:F49" totalsRowShown="0" headerRowDxfId="210" dataDxfId="208" headerRowBorderDxfId="209" tableBorderDxfId="207">
  <tableColumns count="6">
    <tableColumn id="1" name="APPLIANCES" dataDxfId="206" totalsRowDxfId="205"/>
    <tableColumn id="2" name="QUANTITY" dataDxfId="204" totalsRowDxfId="203"/>
    <tableColumn id="3" name="WATTS" dataDxfId="202" totalsRowDxfId="201"/>
    <tableColumn id="4" name="BRAND/MODEL" dataDxfId="200" totalsRowDxfId="199"/>
    <tableColumn id="5" name="HOURS/DAY" dataDxfId="198" totalsRowDxfId="197"/>
    <tableColumn id="6" name="DAYS/WEEK" dataDxfId="196" totalsRowDxfId="19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2" name="Table6" displayName="Table6" ref="A50:F98" totalsRowShown="0" headerRowDxfId="194" dataDxfId="192" headerRowBorderDxfId="193" tableBorderDxfId="191">
  <tableColumns count="6">
    <tableColumn id="1" name="APPLIANCES" dataDxfId="190"/>
    <tableColumn id="2" name="QUANTITY" dataDxfId="189"/>
    <tableColumn id="3" name="WATTS" dataDxfId="188"/>
    <tableColumn id="4" name="BRAND/MODEL" dataDxfId="187"/>
    <tableColumn id="5" name="HOURS/DAY" dataDxfId="186"/>
    <tableColumn id="6" name="DAYS/WEEK" dataDxfId="18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4" name="Table55" displayName="Table55" ref="K10:M30" totalsRowShown="0" headerRowDxfId="184" dataDxfId="183" tableBorderDxfId="182">
  <sortState ref="K11:M31">
    <sortCondition ref="K2:K23"/>
  </sortState>
  <tableColumns count="3">
    <tableColumn id="1" name="ENTERTAINMENT EQUIPMENT" dataDxfId="181"/>
    <tableColumn id="2" name="Load (W)" dataDxfId="180"/>
    <tableColumn id="3" name="Surge" dataDxfId="17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5" name="Table68" displayName="Table68" ref="N10:P30" totalsRowShown="0" headerRowDxfId="178" dataDxfId="177">
  <sortState ref="N11:P31">
    <sortCondition ref="N2:N23"/>
  </sortState>
  <tableColumns count="3">
    <tableColumn id="1" name="IT EQUIPMENTS" dataDxfId="176"/>
    <tableColumn id="2" name="Load (W)" dataDxfId="175"/>
    <tableColumn id="3" name="Surge" dataDxfId="17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6" name="Table816" displayName="Table816" ref="K31:M44" totalsRowShown="0" headerRowDxfId="173" dataDxfId="172" tableBorderDxfId="171">
  <sortState ref="K32:M47">
    <sortCondition ref="K25:K41"/>
  </sortState>
  <tableColumns count="3">
    <tableColumn id="1" name="LIGHTS" dataDxfId="170"/>
    <tableColumn id="2" name="Load (W)" dataDxfId="169"/>
    <tableColumn id="3" name="Surge" dataDxfId="168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7" name="Table917" displayName="Table917" ref="N31:P44" totalsRowShown="0" headerRowDxfId="167" dataDxfId="166">
  <sortState ref="N32:P45">
    <sortCondition ref="N24:N38"/>
  </sortState>
  <tableColumns count="3">
    <tableColumn id="1" name="WASHER &amp; DRYER" dataDxfId="165"/>
    <tableColumn id="2" name="Load (W)" dataDxfId="164"/>
    <tableColumn id="3" name="Surge" dataDxfId="16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8" name="Table1018" displayName="Table1018" ref="Q10:S45" totalsRowShown="0" headerRowDxfId="162" dataDxfId="161">
  <sortState ref="Q11:S47">
    <sortCondition ref="Q2:Q39"/>
  </sortState>
  <tableColumns count="3">
    <tableColumn id="1" name="COOKING" dataDxfId="160"/>
    <tableColumn id="2" name="Load (W)" dataDxfId="159"/>
    <tableColumn id="3" name="Surge" dataDxfId="15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13" Type="http://schemas.openxmlformats.org/officeDocument/2006/relationships/table" Target="../tables/table15.xml"/><Relationship Id="rId18" Type="http://schemas.openxmlformats.org/officeDocument/2006/relationships/table" Target="../tables/table20.xml"/><Relationship Id="rId3" Type="http://schemas.openxmlformats.org/officeDocument/2006/relationships/table" Target="../tables/table5.xml"/><Relationship Id="rId21" Type="http://schemas.openxmlformats.org/officeDocument/2006/relationships/table" Target="../tables/table23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17" Type="http://schemas.openxmlformats.org/officeDocument/2006/relationships/table" Target="../tables/table19.xml"/><Relationship Id="rId2" Type="http://schemas.openxmlformats.org/officeDocument/2006/relationships/drawing" Target="../drawings/drawing2.xml"/><Relationship Id="rId16" Type="http://schemas.openxmlformats.org/officeDocument/2006/relationships/table" Target="../tables/table18.xml"/><Relationship Id="rId20" Type="http://schemas.openxmlformats.org/officeDocument/2006/relationships/table" Target="../tables/table2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24" Type="http://schemas.openxmlformats.org/officeDocument/2006/relationships/table" Target="../tables/table26.xml"/><Relationship Id="rId5" Type="http://schemas.openxmlformats.org/officeDocument/2006/relationships/table" Target="../tables/table7.xml"/><Relationship Id="rId15" Type="http://schemas.openxmlformats.org/officeDocument/2006/relationships/table" Target="../tables/table17.xml"/><Relationship Id="rId23" Type="http://schemas.openxmlformats.org/officeDocument/2006/relationships/table" Target="../tables/table25.xml"/><Relationship Id="rId10" Type="http://schemas.openxmlformats.org/officeDocument/2006/relationships/table" Target="../tables/table12.xml"/><Relationship Id="rId19" Type="http://schemas.openxmlformats.org/officeDocument/2006/relationships/table" Target="../tables/table21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Relationship Id="rId14" Type="http://schemas.openxmlformats.org/officeDocument/2006/relationships/table" Target="../tables/table16.xml"/><Relationship Id="rId22" Type="http://schemas.openxmlformats.org/officeDocument/2006/relationships/table" Target="../tables/table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E53"/>
  <sheetViews>
    <sheetView showGridLines="0" showRuler="0" view="pageBreakPreview" zoomScale="130" zoomScaleNormal="145" zoomScaleSheetLayoutView="130" workbookViewId="0">
      <selection activeCell="C47" sqref="C47"/>
    </sheetView>
  </sheetViews>
  <sheetFormatPr defaultRowHeight="14.5" x14ac:dyDescent="0.35"/>
  <cols>
    <col min="2" max="2" width="15.08984375" customWidth="1"/>
    <col min="3" max="3" width="26.7265625" customWidth="1"/>
    <col min="4" max="4" width="12.08984375" customWidth="1"/>
    <col min="5" max="5" width="17" customWidth="1"/>
  </cols>
  <sheetData>
    <row r="1" spans="2:5" ht="15" thickBot="1" x14ac:dyDescent="0.4"/>
    <row r="2" spans="2:5" x14ac:dyDescent="0.35">
      <c r="B2" s="107"/>
      <c r="C2" s="108"/>
      <c r="D2" s="108"/>
      <c r="E2" s="109"/>
    </row>
    <row r="3" spans="2:5" x14ac:dyDescent="0.35">
      <c r="B3" s="103"/>
      <c r="C3" s="118"/>
      <c r="D3" s="118"/>
      <c r="E3" s="104"/>
    </row>
    <row r="4" spans="2:5" x14ac:dyDescent="0.35">
      <c r="B4" s="103"/>
      <c r="C4" s="118"/>
      <c r="D4" s="118"/>
      <c r="E4" s="104"/>
    </row>
    <row r="5" spans="2:5" x14ac:dyDescent="0.35">
      <c r="B5" s="103"/>
      <c r="C5" s="118"/>
      <c r="D5" s="118"/>
      <c r="E5" s="104"/>
    </row>
    <row r="6" spans="2:5" x14ac:dyDescent="0.35">
      <c r="B6" s="103"/>
      <c r="C6" s="118"/>
      <c r="D6" s="118"/>
      <c r="E6" s="104"/>
    </row>
    <row r="7" spans="2:5" ht="15" thickBot="1" x14ac:dyDescent="0.4">
      <c r="B7" s="110"/>
      <c r="C7" s="105"/>
      <c r="D7" s="105"/>
      <c r="E7" s="106"/>
    </row>
    <row r="8" spans="2:5" x14ac:dyDescent="0.35">
      <c r="B8" s="312" t="s">
        <v>200</v>
      </c>
      <c r="C8" s="313"/>
      <c r="D8" s="313"/>
      <c r="E8" s="314"/>
    </row>
    <row r="9" spans="2:5" ht="15" thickBot="1" x14ac:dyDescent="0.4">
      <c r="B9" s="315"/>
      <c r="C9" s="316"/>
      <c r="D9" s="316"/>
      <c r="E9" s="317"/>
    </row>
    <row r="10" spans="2:5" ht="19" thickBot="1" x14ac:dyDescent="0.5">
      <c r="B10" s="230" t="s">
        <v>201</v>
      </c>
      <c r="C10" s="237" t="s">
        <v>202</v>
      </c>
      <c r="D10" s="237" t="s">
        <v>203</v>
      </c>
      <c r="E10" s="238" t="s">
        <v>204</v>
      </c>
    </row>
    <row r="11" spans="2:5" ht="15" hidden="1" thickBot="1" x14ac:dyDescent="0.4">
      <c r="B11" s="239" t="s">
        <v>202</v>
      </c>
      <c r="C11" s="240" t="s">
        <v>203</v>
      </c>
      <c r="D11" s="241" t="s">
        <v>204</v>
      </c>
      <c r="E11" s="241" t="s">
        <v>250</v>
      </c>
    </row>
    <row r="12" spans="2:5" ht="15" thickBot="1" x14ac:dyDescent="0.4">
      <c r="B12" s="256" t="s">
        <v>251</v>
      </c>
      <c r="C12" s="280"/>
      <c r="D12" s="282"/>
      <c r="E12" s="283"/>
    </row>
    <row r="13" spans="2:5" ht="15" thickBot="1" x14ac:dyDescent="0.4">
      <c r="B13" s="257" t="s">
        <v>252</v>
      </c>
      <c r="C13" s="281"/>
      <c r="D13" s="284"/>
      <c r="E13" s="285"/>
    </row>
    <row r="14" spans="2:5" ht="15" thickBot="1" x14ac:dyDescent="0.4">
      <c r="B14" s="256" t="s">
        <v>253</v>
      </c>
      <c r="C14" s="280"/>
      <c r="D14" s="282"/>
      <c r="E14" s="283"/>
    </row>
    <row r="15" spans="2:5" ht="15" thickBot="1" x14ac:dyDescent="0.4">
      <c r="B15" s="257" t="s">
        <v>254</v>
      </c>
      <c r="C15" s="281"/>
      <c r="D15" s="284"/>
      <c r="E15" s="285"/>
    </row>
    <row r="16" spans="2:5" ht="15" thickBot="1" x14ac:dyDescent="0.4">
      <c r="B16" s="256" t="s">
        <v>255</v>
      </c>
      <c r="C16" s="280"/>
      <c r="D16" s="282"/>
      <c r="E16" s="283"/>
    </row>
    <row r="17" spans="2:5" ht="15" thickBot="1" x14ac:dyDescent="0.4">
      <c r="B17" s="257" t="s">
        <v>256</v>
      </c>
      <c r="C17" s="281"/>
      <c r="D17" s="284"/>
      <c r="E17" s="285"/>
    </row>
    <row r="18" spans="2:5" ht="19" thickBot="1" x14ac:dyDescent="0.5">
      <c r="B18" s="253" t="s">
        <v>205</v>
      </c>
      <c r="C18" s="254" t="s">
        <v>202</v>
      </c>
      <c r="D18" s="254" t="s">
        <v>203</v>
      </c>
      <c r="E18" s="255" t="s">
        <v>204</v>
      </c>
    </row>
    <row r="19" spans="2:5" x14ac:dyDescent="0.35">
      <c r="B19" s="260" t="s">
        <v>206</v>
      </c>
      <c r="C19" s="261"/>
      <c r="D19" s="268" t="s">
        <v>207</v>
      </c>
      <c r="E19" s="259"/>
    </row>
    <row r="20" spans="2:5" x14ac:dyDescent="0.35">
      <c r="B20" s="262" t="s">
        <v>209</v>
      </c>
      <c r="C20" s="263"/>
      <c r="D20" s="269" t="s">
        <v>208</v>
      </c>
      <c r="E20" s="246"/>
    </row>
    <row r="21" spans="2:5" x14ac:dyDescent="0.35">
      <c r="B21" s="264" t="s">
        <v>247</v>
      </c>
      <c r="C21" s="265"/>
      <c r="D21" s="270" t="s">
        <v>210</v>
      </c>
      <c r="E21" s="249"/>
    </row>
    <row r="22" spans="2:5" x14ac:dyDescent="0.35">
      <c r="B22" s="262" t="s">
        <v>211</v>
      </c>
      <c r="C22" s="263"/>
      <c r="D22" s="269" t="s">
        <v>207</v>
      </c>
      <c r="E22" s="286" t="s">
        <v>257</v>
      </c>
    </row>
    <row r="23" spans="2:5" x14ac:dyDescent="0.35">
      <c r="B23" s="264" t="s">
        <v>212</v>
      </c>
      <c r="C23" s="265"/>
      <c r="D23" s="270" t="s">
        <v>207</v>
      </c>
      <c r="E23" s="270" t="s">
        <v>257</v>
      </c>
    </row>
    <row r="24" spans="2:5" x14ac:dyDescent="0.35">
      <c r="B24" s="262" t="s">
        <v>213</v>
      </c>
      <c r="C24" s="263"/>
      <c r="D24" s="269" t="s">
        <v>207</v>
      </c>
      <c r="E24" s="246"/>
    </row>
    <row r="25" spans="2:5" x14ac:dyDescent="0.35">
      <c r="B25" s="264" t="s">
        <v>214</v>
      </c>
      <c r="C25" s="265"/>
      <c r="D25" s="270" t="s">
        <v>207</v>
      </c>
      <c r="E25" s="270" t="s">
        <v>257</v>
      </c>
    </row>
    <row r="26" spans="2:5" x14ac:dyDescent="0.35">
      <c r="B26" s="262" t="s">
        <v>215</v>
      </c>
      <c r="C26" s="263"/>
      <c r="D26" s="269" t="s">
        <v>207</v>
      </c>
      <c r="E26" s="246"/>
    </row>
    <row r="27" spans="2:5" x14ac:dyDescent="0.35">
      <c r="B27" s="264" t="s">
        <v>216</v>
      </c>
      <c r="C27" s="265"/>
      <c r="D27" s="270" t="s">
        <v>207</v>
      </c>
      <c r="E27" s="249"/>
    </row>
    <row r="28" spans="2:5" x14ac:dyDescent="0.35">
      <c r="B28" s="262" t="s">
        <v>217</v>
      </c>
      <c r="C28" s="263"/>
      <c r="D28" s="269"/>
      <c r="E28" s="246"/>
    </row>
    <row r="29" spans="2:5" x14ac:dyDescent="0.35">
      <c r="B29" s="264" t="s">
        <v>218</v>
      </c>
      <c r="C29" s="265"/>
      <c r="D29" s="270" t="s">
        <v>219</v>
      </c>
      <c r="E29" s="249"/>
    </row>
    <row r="30" spans="2:5" x14ac:dyDescent="0.35">
      <c r="B30" s="262" t="s">
        <v>222</v>
      </c>
      <c r="C30" s="263"/>
      <c r="D30" s="269"/>
      <c r="E30" s="246"/>
    </row>
    <row r="31" spans="2:5" x14ac:dyDescent="0.35">
      <c r="B31" s="264" t="s">
        <v>223</v>
      </c>
      <c r="C31" s="265"/>
      <c r="D31" s="270"/>
      <c r="E31" s="249"/>
    </row>
    <row r="32" spans="2:5" x14ac:dyDescent="0.35">
      <c r="B32" s="262" t="s">
        <v>224</v>
      </c>
      <c r="C32" s="263"/>
      <c r="D32" s="269"/>
      <c r="E32" s="246"/>
    </row>
    <row r="33" spans="2:5" x14ac:dyDescent="0.35">
      <c r="B33" s="264" t="s">
        <v>225</v>
      </c>
      <c r="C33" s="265"/>
      <c r="D33" s="270"/>
      <c r="E33" s="249"/>
    </row>
    <row r="34" spans="2:5" x14ac:dyDescent="0.35">
      <c r="B34" s="262" t="s">
        <v>226</v>
      </c>
      <c r="C34" s="263"/>
      <c r="D34" s="271" t="s">
        <v>227</v>
      </c>
      <c r="E34" s="246"/>
    </row>
    <row r="35" spans="2:5" x14ac:dyDescent="0.35">
      <c r="B35" s="264" t="s">
        <v>229</v>
      </c>
      <c r="C35" s="265"/>
      <c r="D35" s="272" t="s">
        <v>207</v>
      </c>
      <c r="E35" s="249"/>
    </row>
    <row r="36" spans="2:5" x14ac:dyDescent="0.35">
      <c r="B36" s="262" t="s">
        <v>230</v>
      </c>
      <c r="C36" s="263"/>
      <c r="D36" s="269" t="s">
        <v>207</v>
      </c>
      <c r="E36" s="246"/>
    </row>
    <row r="37" spans="2:5" x14ac:dyDescent="0.35">
      <c r="B37" s="264" t="s">
        <v>231</v>
      </c>
      <c r="C37" s="265"/>
      <c r="D37" s="270" t="s">
        <v>208</v>
      </c>
      <c r="E37" s="249"/>
    </row>
    <row r="38" spans="2:5" x14ac:dyDescent="0.35">
      <c r="B38" s="262" t="s">
        <v>232</v>
      </c>
      <c r="C38" s="263"/>
      <c r="D38" s="269" t="s">
        <v>208</v>
      </c>
      <c r="E38" s="246"/>
    </row>
    <row r="39" spans="2:5" x14ac:dyDescent="0.35">
      <c r="B39" s="264" t="s">
        <v>233</v>
      </c>
      <c r="C39" s="265"/>
      <c r="D39" s="270" t="s">
        <v>207</v>
      </c>
      <c r="E39" s="249"/>
    </row>
    <row r="40" spans="2:5" ht="15" thickBot="1" x14ac:dyDescent="0.4">
      <c r="B40" s="266" t="s">
        <v>234</v>
      </c>
      <c r="C40" s="267"/>
      <c r="D40" s="273" t="s">
        <v>207</v>
      </c>
      <c r="E40" s="246"/>
    </row>
    <row r="41" spans="2:5" hidden="1" x14ac:dyDescent="0.35">
      <c r="B41" s="258" t="s">
        <v>235</v>
      </c>
      <c r="C41" s="32" t="s">
        <v>208</v>
      </c>
      <c r="D41" s="32"/>
      <c r="E41" s="246"/>
    </row>
    <row r="42" spans="2:5" hidden="1" x14ac:dyDescent="0.35">
      <c r="B42" s="243"/>
      <c r="C42" s="244" t="s">
        <v>227</v>
      </c>
      <c r="D42" s="244" t="s">
        <v>228</v>
      </c>
      <c r="E42" s="247"/>
    </row>
    <row r="43" spans="2:5" hidden="1" x14ac:dyDescent="0.35">
      <c r="B43" s="243"/>
      <c r="C43" s="244" t="s">
        <v>219</v>
      </c>
      <c r="D43" s="244" t="s">
        <v>220</v>
      </c>
      <c r="E43" s="248" t="s">
        <v>221</v>
      </c>
    </row>
    <row r="44" spans="2:5" ht="15" hidden="1" thickBot="1" x14ac:dyDescent="0.4">
      <c r="B44" s="245"/>
      <c r="C44" s="242" t="s">
        <v>207</v>
      </c>
      <c r="D44" s="242" t="s">
        <v>208</v>
      </c>
      <c r="E44" s="249" t="s">
        <v>210</v>
      </c>
    </row>
    <row r="45" spans="2:5" ht="19" thickBot="1" x14ac:dyDescent="0.5">
      <c r="B45" s="250" t="s">
        <v>236</v>
      </c>
      <c r="C45" s="251"/>
      <c r="D45" s="251"/>
      <c r="E45" s="252"/>
    </row>
    <row r="46" spans="2:5" x14ac:dyDescent="0.35">
      <c r="B46" s="274"/>
      <c r="C46" s="275"/>
      <c r="D46" s="275"/>
      <c r="E46" s="276"/>
    </row>
    <row r="47" spans="2:5" x14ac:dyDescent="0.35">
      <c r="B47" s="274"/>
      <c r="C47" s="275"/>
      <c r="D47" s="275"/>
      <c r="E47" s="276"/>
    </row>
    <row r="48" spans="2:5" x14ac:dyDescent="0.35">
      <c r="B48" s="274"/>
      <c r="C48" s="275"/>
      <c r="D48" s="275"/>
      <c r="E48" s="276"/>
    </row>
    <row r="49" spans="2:5" x14ac:dyDescent="0.35">
      <c r="B49" s="274"/>
      <c r="C49" s="275"/>
      <c r="D49" s="275"/>
      <c r="E49" s="276"/>
    </row>
    <row r="50" spans="2:5" x14ac:dyDescent="0.35">
      <c r="B50" s="274"/>
      <c r="C50" s="275"/>
      <c r="D50" s="275"/>
      <c r="E50" s="276"/>
    </row>
    <row r="51" spans="2:5" x14ac:dyDescent="0.35">
      <c r="B51" s="274"/>
      <c r="C51" s="275"/>
      <c r="D51" s="275"/>
      <c r="E51" s="276"/>
    </row>
    <row r="52" spans="2:5" x14ac:dyDescent="0.35">
      <c r="B52" s="274"/>
      <c r="C52" s="275"/>
      <c r="D52" s="275"/>
      <c r="E52" s="276"/>
    </row>
    <row r="53" spans="2:5" ht="15" thickBot="1" x14ac:dyDescent="0.4">
      <c r="B53" s="277"/>
      <c r="C53" s="278"/>
      <c r="D53" s="278"/>
      <c r="E53" s="279"/>
    </row>
  </sheetData>
  <sheetProtection sheet="1" objects="1" scenarios="1" selectLockedCells="1"/>
  <mergeCells count="1">
    <mergeCell ref="B8:E9"/>
  </mergeCells>
  <dataValidations count="3">
    <dataValidation type="list" allowBlank="1" showInputMessage="1" showErrorMessage="1" sqref="D19:D27 D35:D40 C41">
      <formula1>$C$44:$E$44</formula1>
    </dataValidation>
    <dataValidation type="list" allowBlank="1" showInputMessage="1" showErrorMessage="1" sqref="D29">
      <formula1>$C$43:$E$43</formula1>
    </dataValidation>
    <dataValidation type="list" allowBlank="1" showInputMessage="1" showErrorMessage="1" sqref="D34">
      <formula1>$C$42:$D$42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96"/>
  <sheetViews>
    <sheetView showGridLines="0" tabSelected="1" showRuler="0" view="pageBreakPreview" zoomScaleNormal="100" zoomScaleSheetLayoutView="100" zoomScalePageLayoutView="130" workbookViewId="0">
      <selection activeCell="C33" sqref="C33"/>
    </sheetView>
  </sheetViews>
  <sheetFormatPr defaultColWidth="9" defaultRowHeight="14.5" x14ac:dyDescent="0.35"/>
  <cols>
    <col min="1" max="1" width="29.90625" style="1" bestFit="1" customWidth="1"/>
    <col min="2" max="2" width="9.90625" style="1" customWidth="1"/>
    <col min="3" max="3" width="7.26953125" style="1" customWidth="1"/>
    <col min="4" max="4" width="14.6328125" style="1" customWidth="1"/>
    <col min="5" max="5" width="11.6328125" style="1" customWidth="1"/>
    <col min="6" max="6" width="11.36328125" style="1" customWidth="1"/>
    <col min="7" max="9" width="9" style="1"/>
    <col min="10" max="10" width="9.26953125" style="1" customWidth="1"/>
    <col min="11" max="16384" width="9" style="1"/>
  </cols>
  <sheetData>
    <row r="1" spans="1:6" ht="15" customHeight="1" x14ac:dyDescent="0.35">
      <c r="A1" s="318" t="s">
        <v>146</v>
      </c>
      <c r="B1" s="319"/>
      <c r="C1" s="319"/>
      <c r="D1" s="319"/>
      <c r="E1" s="319"/>
      <c r="F1" s="320"/>
    </row>
    <row r="2" spans="1:6" ht="15.75" customHeight="1" thickBot="1" x14ac:dyDescent="0.4">
      <c r="A2" s="321"/>
      <c r="B2" s="322"/>
      <c r="C2" s="322"/>
      <c r="D2" s="322"/>
      <c r="E2" s="322"/>
      <c r="F2" s="323"/>
    </row>
    <row r="3" spans="1:6" ht="16" thickBot="1" x14ac:dyDescent="0.4">
      <c r="A3" s="85" t="s">
        <v>147</v>
      </c>
      <c r="B3" s="86" t="s">
        <v>148</v>
      </c>
      <c r="C3" s="85" t="s">
        <v>149</v>
      </c>
      <c r="D3" s="85" t="s">
        <v>150</v>
      </c>
      <c r="E3" s="85" t="s">
        <v>151</v>
      </c>
      <c r="F3" s="85" t="s">
        <v>152</v>
      </c>
    </row>
    <row r="4" spans="1:6" ht="16" thickBot="1" x14ac:dyDescent="0.4">
      <c r="A4" s="73" t="s">
        <v>153</v>
      </c>
      <c r="B4" s="70"/>
      <c r="C4" s="70"/>
      <c r="D4" s="70"/>
      <c r="E4" s="70"/>
      <c r="F4" s="71"/>
    </row>
    <row r="5" spans="1:6" x14ac:dyDescent="0.35">
      <c r="A5" s="72" t="s">
        <v>109</v>
      </c>
      <c r="B5" s="289"/>
      <c r="C5" s="290"/>
      <c r="D5" s="290"/>
      <c r="E5" s="290"/>
      <c r="F5" s="291"/>
    </row>
    <row r="6" spans="1:6" x14ac:dyDescent="0.35">
      <c r="A6" s="5" t="s">
        <v>110</v>
      </c>
      <c r="B6" s="289"/>
      <c r="C6" s="290"/>
      <c r="D6" s="290"/>
      <c r="E6" s="290"/>
      <c r="F6" s="291"/>
    </row>
    <row r="7" spans="1:6" x14ac:dyDescent="0.35">
      <c r="A7" s="5" t="s">
        <v>111</v>
      </c>
      <c r="B7" s="289"/>
      <c r="C7" s="290"/>
      <c r="D7" s="290"/>
      <c r="E7" s="290"/>
      <c r="F7" s="291"/>
    </row>
    <row r="8" spans="1:6" x14ac:dyDescent="0.35">
      <c r="A8" s="5" t="s">
        <v>112</v>
      </c>
      <c r="B8" s="289"/>
      <c r="C8" s="290"/>
      <c r="D8" s="290"/>
      <c r="E8" s="290"/>
      <c r="F8" s="291"/>
    </row>
    <row r="9" spans="1:6" x14ac:dyDescent="0.35">
      <c r="A9" s="5" t="s">
        <v>113</v>
      </c>
      <c r="B9" s="289"/>
      <c r="C9" s="290"/>
      <c r="D9" s="290"/>
      <c r="E9" s="290"/>
      <c r="F9" s="291"/>
    </row>
    <row r="10" spans="1:6" x14ac:dyDescent="0.35">
      <c r="A10" s="5" t="s">
        <v>2</v>
      </c>
      <c r="B10" s="289"/>
      <c r="C10" s="290"/>
      <c r="D10" s="290"/>
      <c r="E10" s="290"/>
      <c r="F10" s="291"/>
    </row>
    <row r="11" spans="1:6" x14ac:dyDescent="0.35">
      <c r="A11" s="5" t="s">
        <v>3</v>
      </c>
      <c r="B11" s="289"/>
      <c r="C11" s="290"/>
      <c r="D11" s="290"/>
      <c r="E11" s="290"/>
      <c r="F11" s="291"/>
    </row>
    <row r="12" spans="1:6" x14ac:dyDescent="0.35">
      <c r="A12" s="5" t="s">
        <v>4</v>
      </c>
      <c r="B12" s="289"/>
      <c r="C12" s="292"/>
      <c r="D12" s="292"/>
      <c r="E12" s="290"/>
      <c r="F12" s="291"/>
    </row>
    <row r="13" spans="1:6" x14ac:dyDescent="0.35">
      <c r="A13" s="5" t="s">
        <v>5</v>
      </c>
      <c r="B13" s="289"/>
      <c r="C13" s="292"/>
      <c r="D13" s="292"/>
      <c r="E13" s="290"/>
      <c r="F13" s="291"/>
    </row>
    <row r="14" spans="1:6" x14ac:dyDescent="0.35">
      <c r="A14" s="5" t="s">
        <v>6</v>
      </c>
      <c r="B14" s="289"/>
      <c r="C14" s="292"/>
      <c r="D14" s="292"/>
      <c r="E14" s="290"/>
      <c r="F14" s="291"/>
    </row>
    <row r="15" spans="1:6" x14ac:dyDescent="0.35">
      <c r="A15" s="5" t="s">
        <v>7</v>
      </c>
      <c r="B15" s="289"/>
      <c r="C15" s="292"/>
      <c r="D15" s="292"/>
      <c r="E15" s="290"/>
      <c r="F15" s="291"/>
    </row>
    <row r="16" spans="1:6" x14ac:dyDescent="0.35">
      <c r="A16" s="5" t="s">
        <v>8</v>
      </c>
      <c r="B16" s="289"/>
      <c r="C16" s="292"/>
      <c r="D16" s="292"/>
      <c r="E16" s="290"/>
      <c r="F16" s="291"/>
    </row>
    <row r="17" spans="1:6" x14ac:dyDescent="0.35">
      <c r="A17" s="303" t="s">
        <v>9</v>
      </c>
      <c r="B17" s="293"/>
      <c r="C17" s="292"/>
      <c r="D17" s="292"/>
      <c r="E17" s="292"/>
      <c r="F17" s="294"/>
    </row>
    <row r="18" spans="1:6" ht="15" thickBot="1" x14ac:dyDescent="0.4">
      <c r="A18" s="304" t="s">
        <v>9</v>
      </c>
      <c r="B18" s="293"/>
      <c r="C18" s="292"/>
      <c r="D18" s="292"/>
      <c r="E18" s="292"/>
      <c r="F18" s="294"/>
    </row>
    <row r="19" spans="1:6" ht="16" thickBot="1" x14ac:dyDescent="0.4">
      <c r="A19" s="74" t="s">
        <v>246</v>
      </c>
      <c r="B19" s="75"/>
      <c r="C19" s="75"/>
      <c r="D19" s="75"/>
      <c r="E19" s="75"/>
      <c r="F19" s="76"/>
    </row>
    <row r="20" spans="1:6" x14ac:dyDescent="0.35">
      <c r="A20" s="4" t="s">
        <v>114</v>
      </c>
      <c r="B20" s="293"/>
      <c r="C20" s="292"/>
      <c r="D20" s="292"/>
      <c r="E20" s="292"/>
      <c r="F20" s="294"/>
    </row>
    <row r="21" spans="1:6" x14ac:dyDescent="0.35">
      <c r="A21" s="5" t="s">
        <v>115</v>
      </c>
      <c r="B21" s="293"/>
      <c r="C21" s="292"/>
      <c r="D21" s="292"/>
      <c r="E21" s="292"/>
      <c r="F21" s="294"/>
    </row>
    <row r="22" spans="1:6" x14ac:dyDescent="0.35">
      <c r="A22" s="5" t="s">
        <v>116</v>
      </c>
      <c r="B22" s="293"/>
      <c r="C22" s="292"/>
      <c r="D22" s="292"/>
      <c r="E22" s="292"/>
      <c r="F22" s="294"/>
    </row>
    <row r="23" spans="1:6" x14ac:dyDescent="0.35">
      <c r="A23" s="5" t="s">
        <v>10</v>
      </c>
      <c r="B23" s="293"/>
      <c r="C23" s="292"/>
      <c r="D23" s="292"/>
      <c r="E23" s="292"/>
      <c r="F23" s="294"/>
    </row>
    <row r="24" spans="1:6" x14ac:dyDescent="0.35">
      <c r="A24" s="5" t="s">
        <v>117</v>
      </c>
      <c r="B24" s="293"/>
      <c r="C24" s="292"/>
      <c r="D24" s="292"/>
      <c r="E24" s="292"/>
      <c r="F24" s="294"/>
    </row>
    <row r="25" spans="1:6" x14ac:dyDescent="0.35">
      <c r="A25" s="5" t="s">
        <v>11</v>
      </c>
      <c r="B25" s="293"/>
      <c r="C25" s="292"/>
      <c r="D25" s="292"/>
      <c r="E25" s="292"/>
      <c r="F25" s="294"/>
    </row>
    <row r="26" spans="1:6" x14ac:dyDescent="0.35">
      <c r="A26" s="5" t="s">
        <v>12</v>
      </c>
      <c r="B26" s="293"/>
      <c r="C26" s="292"/>
      <c r="D26" s="292"/>
      <c r="E26" s="292"/>
      <c r="F26" s="294"/>
    </row>
    <row r="27" spans="1:6" x14ac:dyDescent="0.35">
      <c r="A27" s="5" t="s">
        <v>118</v>
      </c>
      <c r="B27" s="293"/>
      <c r="C27" s="292"/>
      <c r="D27" s="292"/>
      <c r="E27" s="292"/>
      <c r="F27" s="294"/>
    </row>
    <row r="28" spans="1:6" x14ac:dyDescent="0.35">
      <c r="A28" s="5" t="s">
        <v>13</v>
      </c>
      <c r="B28" s="293"/>
      <c r="C28" s="292"/>
      <c r="D28" s="292"/>
      <c r="E28" s="292"/>
      <c r="F28" s="294"/>
    </row>
    <row r="29" spans="1:6" x14ac:dyDescent="0.35">
      <c r="A29" s="5" t="s">
        <v>14</v>
      </c>
      <c r="B29" s="293"/>
      <c r="C29" s="292"/>
      <c r="D29" s="292"/>
      <c r="E29" s="292"/>
      <c r="F29" s="294"/>
    </row>
    <row r="30" spans="1:6" x14ac:dyDescent="0.35">
      <c r="A30" s="5" t="s">
        <v>15</v>
      </c>
      <c r="B30" s="293"/>
      <c r="C30" s="292"/>
      <c r="D30" s="292"/>
      <c r="E30" s="292"/>
      <c r="F30" s="294"/>
    </row>
    <row r="31" spans="1:6" x14ac:dyDescent="0.35">
      <c r="A31" s="5" t="s">
        <v>16</v>
      </c>
      <c r="B31" s="289"/>
      <c r="C31" s="290"/>
      <c r="D31" s="290"/>
      <c r="E31" s="290"/>
      <c r="F31" s="291"/>
    </row>
    <row r="32" spans="1:6" x14ac:dyDescent="0.35">
      <c r="A32" s="5" t="s">
        <v>17</v>
      </c>
      <c r="B32" s="289"/>
      <c r="C32" s="290"/>
      <c r="D32" s="290"/>
      <c r="E32" s="290"/>
      <c r="F32" s="291"/>
    </row>
    <row r="33" spans="1:12" x14ac:dyDescent="0.35">
      <c r="A33" s="5" t="s">
        <v>18</v>
      </c>
      <c r="B33" s="289"/>
      <c r="C33" s="290"/>
      <c r="D33" s="290"/>
      <c r="E33" s="290"/>
      <c r="F33" s="291"/>
    </row>
    <row r="34" spans="1:12" x14ac:dyDescent="0.35">
      <c r="A34" s="5" t="s">
        <v>19</v>
      </c>
      <c r="B34" s="289"/>
      <c r="C34" s="290"/>
      <c r="D34" s="290"/>
      <c r="E34" s="290"/>
      <c r="F34" s="291"/>
    </row>
    <row r="35" spans="1:12" x14ac:dyDescent="0.35">
      <c r="A35" s="5" t="s">
        <v>20</v>
      </c>
      <c r="B35" s="289"/>
      <c r="C35" s="290"/>
      <c r="D35" s="290"/>
      <c r="E35" s="290"/>
      <c r="F35" s="291"/>
    </row>
    <row r="36" spans="1:12" x14ac:dyDescent="0.35">
      <c r="A36" s="5" t="s">
        <v>21</v>
      </c>
      <c r="B36" s="289"/>
      <c r="C36" s="290"/>
      <c r="D36" s="290"/>
      <c r="E36" s="290"/>
      <c r="F36" s="291"/>
    </row>
    <row r="37" spans="1:12" x14ac:dyDescent="0.35">
      <c r="A37" s="5" t="s">
        <v>22</v>
      </c>
      <c r="B37" s="289"/>
      <c r="C37" s="290"/>
      <c r="D37" s="290"/>
      <c r="E37" s="290"/>
      <c r="F37" s="291"/>
    </row>
    <row r="38" spans="1:12" x14ac:dyDescent="0.35">
      <c r="A38" s="5" t="s">
        <v>23</v>
      </c>
      <c r="B38" s="289"/>
      <c r="C38" s="290"/>
      <c r="D38" s="290"/>
      <c r="E38" s="290"/>
      <c r="F38" s="291"/>
    </row>
    <row r="39" spans="1:12" x14ac:dyDescent="0.35">
      <c r="A39" s="303" t="s">
        <v>9</v>
      </c>
      <c r="B39" s="289"/>
      <c r="C39" s="290"/>
      <c r="D39" s="290"/>
      <c r="E39" s="290"/>
      <c r="F39" s="291"/>
    </row>
    <row r="40" spans="1:12" x14ac:dyDescent="0.35">
      <c r="A40" s="303" t="s">
        <v>9</v>
      </c>
      <c r="B40" s="290"/>
      <c r="C40" s="290"/>
      <c r="D40" s="290"/>
      <c r="E40" s="290"/>
      <c r="F40" s="291"/>
    </row>
    <row r="41" spans="1:12" ht="15" thickBot="1" x14ac:dyDescent="0.4">
      <c r="A41" s="304" t="s">
        <v>9</v>
      </c>
      <c r="B41" s="290"/>
      <c r="C41" s="290"/>
      <c r="D41" s="290"/>
      <c r="E41" s="290"/>
      <c r="F41" s="291"/>
    </row>
    <row r="42" spans="1:12" ht="15" thickBot="1" x14ac:dyDescent="0.4">
      <c r="A42" s="131" t="s">
        <v>193</v>
      </c>
      <c r="B42" s="78"/>
      <c r="C42" s="78"/>
      <c r="D42" s="78"/>
      <c r="E42" s="78"/>
      <c r="F42" s="79"/>
    </row>
    <row r="43" spans="1:12" x14ac:dyDescent="0.35">
      <c r="A43" s="80" t="s">
        <v>244</v>
      </c>
      <c r="B43" s="289"/>
      <c r="C43" s="290"/>
      <c r="D43" s="290"/>
      <c r="E43" s="290"/>
      <c r="F43" s="291"/>
    </row>
    <row r="44" spans="1:12" x14ac:dyDescent="0.35">
      <c r="A44" s="81" t="s">
        <v>242</v>
      </c>
      <c r="B44" s="289"/>
      <c r="C44" s="290"/>
      <c r="D44" s="290"/>
      <c r="E44" s="290"/>
      <c r="F44" s="291"/>
    </row>
    <row r="45" spans="1:12" x14ac:dyDescent="0.35">
      <c r="A45" s="81" t="s">
        <v>243</v>
      </c>
      <c r="B45" s="289"/>
      <c r="C45" s="290"/>
      <c r="D45" s="290"/>
      <c r="E45" s="290"/>
      <c r="F45" s="291"/>
    </row>
    <row r="46" spans="1:12" x14ac:dyDescent="0.35">
      <c r="A46" s="81" t="s">
        <v>245</v>
      </c>
      <c r="B46" s="289"/>
      <c r="C46" s="290"/>
      <c r="D46" s="290"/>
      <c r="E46" s="290"/>
      <c r="F46" s="291"/>
    </row>
    <row r="47" spans="1:12" x14ac:dyDescent="0.35">
      <c r="A47" s="81" t="s">
        <v>240</v>
      </c>
      <c r="B47" s="289"/>
      <c r="C47" s="290"/>
      <c r="D47" s="290"/>
      <c r="E47" s="290"/>
      <c r="F47" s="291"/>
    </row>
    <row r="48" spans="1:12" x14ac:dyDescent="0.35">
      <c r="A48" s="11" t="s">
        <v>241</v>
      </c>
      <c r="B48" s="289"/>
      <c r="C48" s="290"/>
      <c r="D48" s="290"/>
      <c r="E48" s="290"/>
      <c r="F48" s="291"/>
      <c r="I48"/>
      <c r="J48"/>
      <c r="K48"/>
      <c r="L48"/>
    </row>
    <row r="49" spans="1:12" ht="15" thickBot="1" x14ac:dyDescent="0.4">
      <c r="A49" s="305" t="s">
        <v>9</v>
      </c>
      <c r="B49" s="289"/>
      <c r="C49" s="290"/>
      <c r="D49" s="290"/>
      <c r="E49" s="290"/>
      <c r="F49" s="291"/>
      <c r="I49"/>
      <c r="J49"/>
      <c r="K49"/>
      <c r="L49"/>
    </row>
    <row r="50" spans="1:12" ht="16" thickBot="1" x14ac:dyDescent="0.4">
      <c r="A50" s="219" t="s">
        <v>147</v>
      </c>
      <c r="B50" s="86" t="s">
        <v>148</v>
      </c>
      <c r="C50" s="85" t="s">
        <v>149</v>
      </c>
      <c r="D50" s="85" t="s">
        <v>150</v>
      </c>
      <c r="E50" s="85" t="s">
        <v>151</v>
      </c>
      <c r="F50" s="85" t="s">
        <v>152</v>
      </c>
      <c r="J50"/>
      <c r="K50"/>
      <c r="L50"/>
    </row>
    <row r="51" spans="1:12" ht="16" thickBot="1" x14ac:dyDescent="0.4">
      <c r="A51" s="87" t="s">
        <v>154</v>
      </c>
      <c r="B51" s="82"/>
      <c r="C51" s="82"/>
      <c r="D51" s="82"/>
      <c r="E51" s="82"/>
      <c r="F51" s="88"/>
      <c r="I51"/>
      <c r="J51"/>
      <c r="K51"/>
      <c r="L51"/>
    </row>
    <row r="52" spans="1:12" x14ac:dyDescent="0.35">
      <c r="A52" s="4" t="s">
        <v>24</v>
      </c>
      <c r="B52" s="289"/>
      <c r="C52" s="290"/>
      <c r="D52" s="290"/>
      <c r="E52" s="290"/>
      <c r="F52" s="294"/>
      <c r="I52"/>
      <c r="J52"/>
      <c r="K52"/>
      <c r="L52"/>
    </row>
    <row r="53" spans="1:12" x14ac:dyDescent="0.35">
      <c r="A53" s="5" t="s">
        <v>25</v>
      </c>
      <c r="B53" s="289"/>
      <c r="C53" s="290"/>
      <c r="D53" s="290"/>
      <c r="E53" s="290"/>
      <c r="F53" s="294"/>
      <c r="I53"/>
      <c r="J53"/>
      <c r="K53"/>
      <c r="L53"/>
    </row>
    <row r="54" spans="1:12" x14ac:dyDescent="0.35">
      <c r="A54" s="5" t="s">
        <v>26</v>
      </c>
      <c r="B54" s="289"/>
      <c r="C54" s="290"/>
      <c r="D54" s="290"/>
      <c r="E54" s="290"/>
      <c r="F54" s="294"/>
      <c r="I54"/>
      <c r="J54"/>
      <c r="K54"/>
      <c r="L54"/>
    </row>
    <row r="55" spans="1:12" x14ac:dyDescent="0.35">
      <c r="A55" s="5" t="s">
        <v>119</v>
      </c>
      <c r="B55" s="289"/>
      <c r="C55" s="290"/>
      <c r="D55" s="290"/>
      <c r="E55" s="290"/>
      <c r="F55" s="294"/>
      <c r="I55"/>
      <c r="J55"/>
      <c r="K55"/>
      <c r="L55"/>
    </row>
    <row r="56" spans="1:12" x14ac:dyDescent="0.35">
      <c r="A56" s="5" t="s">
        <v>120</v>
      </c>
      <c r="B56" s="289"/>
      <c r="C56" s="290"/>
      <c r="D56" s="290"/>
      <c r="E56" s="290"/>
      <c r="F56" s="294"/>
      <c r="I56"/>
      <c r="J56"/>
      <c r="K56"/>
      <c r="L56"/>
    </row>
    <row r="57" spans="1:12" x14ac:dyDescent="0.35">
      <c r="A57" s="5" t="s">
        <v>121</v>
      </c>
      <c r="B57" s="289"/>
      <c r="C57" s="290"/>
      <c r="D57" s="290"/>
      <c r="E57" s="290"/>
      <c r="F57" s="294"/>
      <c r="I57"/>
      <c r="J57"/>
      <c r="K57"/>
      <c r="L57"/>
    </row>
    <row r="58" spans="1:12" x14ac:dyDescent="0.35">
      <c r="A58" s="5" t="s">
        <v>122</v>
      </c>
      <c r="B58" s="289"/>
      <c r="C58" s="290"/>
      <c r="D58" s="290"/>
      <c r="E58" s="290"/>
      <c r="F58" s="294"/>
      <c r="I58"/>
      <c r="J58"/>
      <c r="K58"/>
      <c r="L58"/>
    </row>
    <row r="59" spans="1:12" x14ac:dyDescent="0.35">
      <c r="A59" s="5" t="s">
        <v>27</v>
      </c>
      <c r="B59" s="289"/>
      <c r="C59" s="290"/>
      <c r="D59" s="290"/>
      <c r="E59" s="290"/>
      <c r="F59" s="294"/>
      <c r="I59"/>
      <c r="J59"/>
      <c r="K59"/>
      <c r="L59"/>
    </row>
    <row r="60" spans="1:12" x14ac:dyDescent="0.35">
      <c r="A60" s="5" t="s">
        <v>172</v>
      </c>
      <c r="B60" s="289"/>
      <c r="C60" s="290"/>
      <c r="D60" s="290"/>
      <c r="E60" s="290"/>
      <c r="F60" s="294"/>
      <c r="I60"/>
      <c r="J60"/>
      <c r="K60"/>
      <c r="L60"/>
    </row>
    <row r="61" spans="1:12" x14ac:dyDescent="0.35">
      <c r="A61" s="5" t="s">
        <v>171</v>
      </c>
      <c r="B61" s="289"/>
      <c r="C61" s="290"/>
      <c r="D61" s="290"/>
      <c r="E61" s="290"/>
      <c r="F61" s="294"/>
      <c r="I61"/>
      <c r="J61"/>
      <c r="K61"/>
      <c r="L61"/>
    </row>
    <row r="62" spans="1:12" x14ac:dyDescent="0.35">
      <c r="A62" s="5" t="s">
        <v>123</v>
      </c>
      <c r="B62" s="289"/>
      <c r="C62" s="290"/>
      <c r="D62" s="290"/>
      <c r="E62" s="290"/>
      <c r="F62" s="294"/>
      <c r="I62"/>
      <c r="J62"/>
      <c r="K62"/>
      <c r="L62"/>
    </row>
    <row r="63" spans="1:12" x14ac:dyDescent="0.35">
      <c r="A63" s="5" t="s">
        <v>124</v>
      </c>
      <c r="B63" s="289"/>
      <c r="C63" s="290"/>
      <c r="D63" s="290"/>
      <c r="E63" s="290"/>
      <c r="F63" s="294"/>
      <c r="I63"/>
      <c r="J63"/>
      <c r="K63"/>
      <c r="L63"/>
    </row>
    <row r="64" spans="1:12" x14ac:dyDescent="0.35">
      <c r="A64" s="5" t="s">
        <v>125</v>
      </c>
      <c r="B64" s="289"/>
      <c r="C64" s="290"/>
      <c r="D64" s="290"/>
      <c r="E64" s="290"/>
      <c r="F64" s="294"/>
    </row>
    <row r="65" spans="1:6" x14ac:dyDescent="0.35">
      <c r="A65" s="5" t="s">
        <v>126</v>
      </c>
      <c r="B65" s="289"/>
      <c r="C65" s="290"/>
      <c r="D65" s="290"/>
      <c r="E65" s="290"/>
      <c r="F65" s="294"/>
    </row>
    <row r="66" spans="1:6" x14ac:dyDescent="0.35">
      <c r="A66" s="5" t="s">
        <v>28</v>
      </c>
      <c r="B66" s="289"/>
      <c r="C66" s="290"/>
      <c r="D66" s="290"/>
      <c r="E66" s="290"/>
      <c r="F66" s="294"/>
    </row>
    <row r="67" spans="1:6" x14ac:dyDescent="0.35">
      <c r="A67" s="5" t="s">
        <v>29</v>
      </c>
      <c r="B67" s="289"/>
      <c r="C67" s="290"/>
      <c r="D67" s="290"/>
      <c r="E67" s="290"/>
      <c r="F67" s="294"/>
    </row>
    <row r="68" spans="1:6" x14ac:dyDescent="0.35">
      <c r="A68" s="5" t="s">
        <v>30</v>
      </c>
      <c r="B68" s="289"/>
      <c r="C68" s="290"/>
      <c r="D68" s="290"/>
      <c r="E68" s="290"/>
      <c r="F68" s="294"/>
    </row>
    <row r="69" spans="1:6" x14ac:dyDescent="0.35">
      <c r="A69" s="5" t="s">
        <v>127</v>
      </c>
      <c r="B69" s="289"/>
      <c r="C69" s="290"/>
      <c r="D69" s="290"/>
      <c r="E69" s="290"/>
      <c r="F69" s="294"/>
    </row>
    <row r="70" spans="1:6" x14ac:dyDescent="0.35">
      <c r="A70" s="5" t="s">
        <v>128</v>
      </c>
      <c r="B70" s="289"/>
      <c r="C70" s="290"/>
      <c r="D70" s="290"/>
      <c r="E70" s="290"/>
      <c r="F70" s="294"/>
    </row>
    <row r="71" spans="1:6" x14ac:dyDescent="0.35">
      <c r="A71" s="5" t="s">
        <v>129</v>
      </c>
      <c r="B71" s="289"/>
      <c r="C71" s="290"/>
      <c r="D71" s="290"/>
      <c r="E71" s="290"/>
      <c r="F71" s="294"/>
    </row>
    <row r="72" spans="1:6" x14ac:dyDescent="0.35">
      <c r="A72" s="5" t="s">
        <v>130</v>
      </c>
      <c r="B72" s="289"/>
      <c r="C72" s="290"/>
      <c r="D72" s="290"/>
      <c r="E72" s="290"/>
      <c r="F72" s="294"/>
    </row>
    <row r="73" spans="1:6" x14ac:dyDescent="0.35">
      <c r="A73" s="5" t="s">
        <v>131</v>
      </c>
      <c r="B73" s="289"/>
      <c r="C73" s="290"/>
      <c r="D73" s="290"/>
      <c r="E73" s="290"/>
      <c r="F73" s="294"/>
    </row>
    <row r="74" spans="1:6" x14ac:dyDescent="0.35">
      <c r="A74" s="5" t="s">
        <v>132</v>
      </c>
      <c r="B74" s="289"/>
      <c r="C74" s="290"/>
      <c r="D74" s="290"/>
      <c r="E74" s="290"/>
      <c r="F74" s="294"/>
    </row>
    <row r="75" spans="1:6" x14ac:dyDescent="0.35">
      <c r="A75" s="5" t="s">
        <v>133</v>
      </c>
      <c r="B75" s="289"/>
      <c r="C75" s="290"/>
      <c r="D75" s="290"/>
      <c r="E75" s="290"/>
      <c r="F75" s="294"/>
    </row>
    <row r="76" spans="1:6" x14ac:dyDescent="0.35">
      <c r="A76" s="5" t="s">
        <v>31</v>
      </c>
      <c r="B76" s="289"/>
      <c r="C76" s="290"/>
      <c r="D76" s="290"/>
      <c r="E76" s="290"/>
      <c r="F76" s="294"/>
    </row>
    <row r="77" spans="1:6" x14ac:dyDescent="0.35">
      <c r="A77" s="5" t="s">
        <v>32</v>
      </c>
      <c r="B77" s="289"/>
      <c r="C77" s="290"/>
      <c r="D77" s="290"/>
      <c r="E77" s="290"/>
      <c r="F77" s="294"/>
    </row>
    <row r="78" spans="1:6" x14ac:dyDescent="0.35">
      <c r="A78" s="5" t="s">
        <v>33</v>
      </c>
      <c r="B78" s="289"/>
      <c r="C78" s="290"/>
      <c r="D78" s="290"/>
      <c r="E78" s="290"/>
      <c r="F78" s="294"/>
    </row>
    <row r="79" spans="1:6" x14ac:dyDescent="0.35">
      <c r="A79" s="5" t="s">
        <v>134</v>
      </c>
      <c r="B79" s="289"/>
      <c r="C79" s="290"/>
      <c r="D79" s="290"/>
      <c r="E79" s="290"/>
      <c r="F79" s="294"/>
    </row>
    <row r="80" spans="1:6" x14ac:dyDescent="0.35">
      <c r="A80" s="5" t="s">
        <v>135</v>
      </c>
      <c r="B80" s="289"/>
      <c r="C80" s="290"/>
      <c r="D80" s="290"/>
      <c r="E80" s="290"/>
      <c r="F80" s="294"/>
    </row>
    <row r="81" spans="1:6" x14ac:dyDescent="0.35">
      <c r="A81" s="5" t="s">
        <v>34</v>
      </c>
      <c r="B81" s="289"/>
      <c r="C81" s="290"/>
      <c r="D81" s="290"/>
      <c r="E81" s="290"/>
      <c r="F81" s="294"/>
    </row>
    <row r="82" spans="1:6" x14ac:dyDescent="0.35">
      <c r="A82" s="5" t="s">
        <v>35</v>
      </c>
      <c r="B82" s="289"/>
      <c r="C82" s="290"/>
      <c r="D82" s="290"/>
      <c r="E82" s="290"/>
      <c r="F82" s="294"/>
    </row>
    <row r="83" spans="1:6" x14ac:dyDescent="0.35">
      <c r="A83" s="303" t="s">
        <v>9</v>
      </c>
      <c r="B83" s="290"/>
      <c r="C83" s="290"/>
      <c r="D83" s="290"/>
      <c r="E83" s="290"/>
      <c r="F83" s="294"/>
    </row>
    <row r="84" spans="1:6" x14ac:dyDescent="0.35">
      <c r="A84" s="304" t="s">
        <v>9</v>
      </c>
      <c r="B84" s="290"/>
      <c r="C84" s="290"/>
      <c r="D84" s="290"/>
      <c r="E84" s="290"/>
      <c r="F84" s="294"/>
    </row>
    <row r="85" spans="1:6" x14ac:dyDescent="0.35">
      <c r="A85" s="304" t="s">
        <v>9</v>
      </c>
      <c r="B85" s="290"/>
      <c r="C85" s="290"/>
      <c r="D85" s="290"/>
      <c r="E85" s="290"/>
      <c r="F85" s="294"/>
    </row>
    <row r="86" spans="1:6" x14ac:dyDescent="0.35">
      <c r="A86" s="304" t="s">
        <v>9</v>
      </c>
      <c r="B86" s="289"/>
      <c r="C86" s="290"/>
      <c r="D86" s="290"/>
      <c r="E86" s="290"/>
      <c r="F86" s="294"/>
    </row>
    <row r="87" spans="1:6" ht="15" thickBot="1" x14ac:dyDescent="0.4">
      <c r="A87" s="304" t="s">
        <v>9</v>
      </c>
      <c r="B87" s="289"/>
      <c r="C87" s="290"/>
      <c r="D87" s="290"/>
      <c r="E87" s="290"/>
      <c r="F87" s="294"/>
    </row>
    <row r="88" spans="1:6" ht="16" thickBot="1" x14ac:dyDescent="0.4">
      <c r="A88" s="89" t="s">
        <v>238</v>
      </c>
      <c r="B88" s="69"/>
      <c r="C88" s="69"/>
      <c r="D88" s="69"/>
      <c r="E88" s="69"/>
      <c r="F88" s="90"/>
    </row>
    <row r="89" spans="1:6" x14ac:dyDescent="0.35">
      <c r="A89" s="4" t="s">
        <v>36</v>
      </c>
      <c r="B89" s="293"/>
      <c r="C89" s="292"/>
      <c r="D89" s="292"/>
      <c r="E89" s="292"/>
      <c r="F89" s="294"/>
    </row>
    <row r="90" spans="1:6" x14ac:dyDescent="0.35">
      <c r="A90" s="5" t="s">
        <v>37</v>
      </c>
      <c r="B90" s="293"/>
      <c r="C90" s="292"/>
      <c r="D90" s="292"/>
      <c r="E90" s="292"/>
      <c r="F90" s="294"/>
    </row>
    <row r="91" spans="1:6" x14ac:dyDescent="0.35">
      <c r="A91" s="5" t="s">
        <v>136</v>
      </c>
      <c r="B91" s="293"/>
      <c r="C91" s="292"/>
      <c r="D91" s="292"/>
      <c r="E91" s="292"/>
      <c r="F91" s="294"/>
    </row>
    <row r="92" spans="1:6" x14ac:dyDescent="0.35">
      <c r="A92" s="5" t="s">
        <v>38</v>
      </c>
      <c r="B92" s="293"/>
      <c r="C92" s="292"/>
      <c r="D92" s="292"/>
      <c r="E92" s="292"/>
      <c r="F92" s="294"/>
    </row>
    <row r="93" spans="1:6" x14ac:dyDescent="0.35">
      <c r="A93" s="5" t="s">
        <v>248</v>
      </c>
      <c r="B93" s="293"/>
      <c r="C93" s="292"/>
      <c r="D93" s="292"/>
      <c r="E93" s="292"/>
      <c r="F93" s="294"/>
    </row>
    <row r="94" spans="1:6" x14ac:dyDescent="0.35">
      <c r="A94" s="6" t="s">
        <v>138</v>
      </c>
      <c r="B94" s="293"/>
      <c r="C94" s="292"/>
      <c r="D94" s="292"/>
      <c r="E94" s="292"/>
      <c r="F94" s="294"/>
    </row>
    <row r="95" spans="1:6" x14ac:dyDescent="0.35">
      <c r="A95" s="5" t="s">
        <v>249</v>
      </c>
      <c r="B95" s="293"/>
      <c r="C95" s="292"/>
      <c r="D95" s="292"/>
      <c r="E95" s="292"/>
      <c r="F95" s="294"/>
    </row>
    <row r="96" spans="1:6" x14ac:dyDescent="0.35">
      <c r="A96" s="6" t="s">
        <v>140</v>
      </c>
      <c r="B96" s="293"/>
      <c r="C96" s="292"/>
      <c r="D96" s="292"/>
      <c r="E96" s="292"/>
      <c r="F96" s="294"/>
    </row>
    <row r="97" spans="1:6" x14ac:dyDescent="0.35">
      <c r="A97" s="306" t="s">
        <v>9</v>
      </c>
      <c r="B97" s="293"/>
      <c r="C97" s="292"/>
      <c r="D97" s="292"/>
      <c r="E97" s="292"/>
      <c r="F97" s="294"/>
    </row>
    <row r="98" spans="1:6" ht="15" thickBot="1" x14ac:dyDescent="0.4">
      <c r="A98" s="307" t="s">
        <v>9</v>
      </c>
      <c r="B98" s="293"/>
      <c r="C98" s="292"/>
      <c r="D98" s="292"/>
      <c r="E98" s="292"/>
      <c r="F98" s="294"/>
    </row>
    <row r="99" spans="1:6" ht="16" thickBot="1" x14ac:dyDescent="0.4">
      <c r="A99" s="85" t="s">
        <v>147</v>
      </c>
      <c r="B99" s="86" t="s">
        <v>148</v>
      </c>
      <c r="C99" s="85" t="s">
        <v>149</v>
      </c>
      <c r="D99" s="85" t="s">
        <v>150</v>
      </c>
      <c r="E99" s="85" t="s">
        <v>151</v>
      </c>
      <c r="F99" s="85" t="s">
        <v>152</v>
      </c>
    </row>
    <row r="100" spans="1:6" ht="16" thickBot="1" x14ac:dyDescent="0.4">
      <c r="A100" s="91" t="s">
        <v>155</v>
      </c>
      <c r="B100" s="83"/>
      <c r="C100" s="83"/>
      <c r="D100" s="83"/>
      <c r="E100" s="83"/>
      <c r="F100" s="92"/>
    </row>
    <row r="101" spans="1:6" x14ac:dyDescent="0.35">
      <c r="A101" s="4" t="s">
        <v>173</v>
      </c>
      <c r="B101" s="295"/>
      <c r="C101" s="296"/>
      <c r="D101" s="296"/>
      <c r="E101" s="296"/>
      <c r="F101" s="297"/>
    </row>
    <row r="102" spans="1:6" x14ac:dyDescent="0.35">
      <c r="A102" s="5" t="s">
        <v>40</v>
      </c>
      <c r="B102" s="295"/>
      <c r="C102" s="296"/>
      <c r="D102" s="296"/>
      <c r="E102" s="296"/>
      <c r="F102" s="297"/>
    </row>
    <row r="103" spans="1:6" x14ac:dyDescent="0.35">
      <c r="A103" s="5" t="s">
        <v>41</v>
      </c>
      <c r="B103" s="295"/>
      <c r="C103" s="296"/>
      <c r="D103" s="296"/>
      <c r="E103" s="296"/>
      <c r="F103" s="297"/>
    </row>
    <row r="104" spans="1:6" x14ac:dyDescent="0.35">
      <c r="A104" s="5" t="s">
        <v>141</v>
      </c>
      <c r="B104" s="295"/>
      <c r="C104" s="296"/>
      <c r="D104" s="296"/>
      <c r="E104" s="296"/>
      <c r="F104" s="297"/>
    </row>
    <row r="105" spans="1:6" x14ac:dyDescent="0.35">
      <c r="A105" s="5" t="s">
        <v>43</v>
      </c>
      <c r="B105" s="295"/>
      <c r="C105" s="296"/>
      <c r="D105" s="296"/>
      <c r="E105" s="296"/>
      <c r="F105" s="297"/>
    </row>
    <row r="106" spans="1:6" x14ac:dyDescent="0.35">
      <c r="A106" s="5" t="s">
        <v>44</v>
      </c>
      <c r="B106" s="295"/>
      <c r="C106" s="296"/>
      <c r="D106" s="296"/>
      <c r="E106" s="296"/>
      <c r="F106" s="297"/>
    </row>
    <row r="107" spans="1:6" x14ac:dyDescent="0.35">
      <c r="A107" s="5" t="s">
        <v>142</v>
      </c>
      <c r="B107" s="295"/>
      <c r="C107" s="296"/>
      <c r="D107" s="296"/>
      <c r="E107" s="296"/>
      <c r="F107" s="297"/>
    </row>
    <row r="108" spans="1:6" x14ac:dyDescent="0.35">
      <c r="A108" s="5" t="s">
        <v>46</v>
      </c>
      <c r="B108" s="295"/>
      <c r="C108" s="296"/>
      <c r="D108" s="296"/>
      <c r="E108" s="296"/>
      <c r="F108" s="297"/>
    </row>
    <row r="109" spans="1:6" x14ac:dyDescent="0.35">
      <c r="A109" s="5" t="s">
        <v>47</v>
      </c>
      <c r="B109" s="295"/>
      <c r="C109" s="296"/>
      <c r="D109" s="296"/>
      <c r="E109" s="296"/>
      <c r="F109" s="297"/>
    </row>
    <row r="110" spans="1:6" x14ac:dyDescent="0.35">
      <c r="A110" s="5" t="s">
        <v>48</v>
      </c>
      <c r="B110" s="295"/>
      <c r="C110" s="296"/>
      <c r="D110" s="296"/>
      <c r="E110" s="296"/>
      <c r="F110" s="297"/>
    </row>
    <row r="111" spans="1:6" x14ac:dyDescent="0.35">
      <c r="A111" s="5" t="s">
        <v>143</v>
      </c>
      <c r="B111" s="295"/>
      <c r="C111" s="296"/>
      <c r="D111" s="296"/>
      <c r="E111" s="296"/>
      <c r="F111" s="297"/>
    </row>
    <row r="112" spans="1:6" x14ac:dyDescent="0.35">
      <c r="A112" s="5" t="s">
        <v>174</v>
      </c>
      <c r="B112" s="295"/>
      <c r="C112" s="296"/>
      <c r="D112" s="296"/>
      <c r="E112" s="296"/>
      <c r="F112" s="297"/>
    </row>
    <row r="113" spans="1:6" x14ac:dyDescent="0.35">
      <c r="A113" s="5" t="s">
        <v>145</v>
      </c>
      <c r="B113" s="295"/>
      <c r="C113" s="296"/>
      <c r="D113" s="296"/>
      <c r="E113" s="296"/>
      <c r="F113" s="297"/>
    </row>
    <row r="114" spans="1:6" x14ac:dyDescent="0.35">
      <c r="A114" s="5" t="s">
        <v>52</v>
      </c>
      <c r="B114" s="295"/>
      <c r="C114" s="296"/>
      <c r="D114" s="296"/>
      <c r="E114" s="296"/>
      <c r="F114" s="297"/>
    </row>
    <row r="115" spans="1:6" x14ac:dyDescent="0.35">
      <c r="A115" s="5" t="s">
        <v>53</v>
      </c>
      <c r="B115" s="295"/>
      <c r="C115" s="296"/>
      <c r="D115" s="296"/>
      <c r="E115" s="296"/>
      <c r="F115" s="297"/>
    </row>
    <row r="116" spans="1:6" x14ac:dyDescent="0.35">
      <c r="A116" s="5" t="s">
        <v>54</v>
      </c>
      <c r="B116" s="295"/>
      <c r="C116" s="296"/>
      <c r="D116" s="296"/>
      <c r="E116" s="296"/>
      <c r="F116" s="297"/>
    </row>
    <row r="117" spans="1:6" x14ac:dyDescent="0.35">
      <c r="A117" s="303" t="s">
        <v>9</v>
      </c>
      <c r="B117" s="295"/>
      <c r="C117" s="296"/>
      <c r="D117" s="296"/>
      <c r="E117" s="296"/>
      <c r="F117" s="297"/>
    </row>
    <row r="118" spans="1:6" ht="15" thickBot="1" x14ac:dyDescent="0.4">
      <c r="A118" s="304" t="s">
        <v>9</v>
      </c>
      <c r="B118" s="295"/>
      <c r="C118" s="296"/>
      <c r="D118" s="296"/>
      <c r="E118" s="296"/>
      <c r="F118" s="297"/>
    </row>
    <row r="119" spans="1:6" ht="16" thickBot="1" x14ac:dyDescent="0.4">
      <c r="A119" s="93" t="s">
        <v>156</v>
      </c>
      <c r="B119" s="84"/>
      <c r="C119" s="84"/>
      <c r="D119" s="84"/>
      <c r="E119" s="84"/>
      <c r="F119" s="94"/>
    </row>
    <row r="120" spans="1:6" x14ac:dyDescent="0.35">
      <c r="A120" s="4" t="s">
        <v>157</v>
      </c>
      <c r="B120" s="295"/>
      <c r="C120" s="296"/>
      <c r="D120" s="296"/>
      <c r="E120" s="296"/>
      <c r="F120" s="297"/>
    </row>
    <row r="121" spans="1:6" x14ac:dyDescent="0.35">
      <c r="A121" s="5" t="s">
        <v>55</v>
      </c>
      <c r="B121" s="295"/>
      <c r="C121" s="296"/>
      <c r="D121" s="296"/>
      <c r="E121" s="296"/>
      <c r="F121" s="297"/>
    </row>
    <row r="122" spans="1:6" x14ac:dyDescent="0.35">
      <c r="A122" s="5" t="s">
        <v>158</v>
      </c>
      <c r="B122" s="295"/>
      <c r="C122" s="296"/>
      <c r="D122" s="296"/>
      <c r="E122" s="296"/>
      <c r="F122" s="297"/>
    </row>
    <row r="123" spans="1:6" x14ac:dyDescent="0.35">
      <c r="A123" s="5" t="s">
        <v>159</v>
      </c>
      <c r="B123" s="295"/>
      <c r="C123" s="296"/>
      <c r="D123" s="296"/>
      <c r="E123" s="296"/>
      <c r="F123" s="297"/>
    </row>
    <row r="124" spans="1:6" x14ac:dyDescent="0.35">
      <c r="A124" s="5" t="s">
        <v>160</v>
      </c>
      <c r="B124" s="295"/>
      <c r="C124" s="296"/>
      <c r="D124" s="296"/>
      <c r="E124" s="296"/>
      <c r="F124" s="297"/>
    </row>
    <row r="125" spans="1:6" x14ac:dyDescent="0.35">
      <c r="A125" s="5" t="s">
        <v>161</v>
      </c>
      <c r="B125" s="295"/>
      <c r="C125" s="296"/>
      <c r="D125" s="296"/>
      <c r="E125" s="296"/>
      <c r="F125" s="297"/>
    </row>
    <row r="126" spans="1:6" x14ac:dyDescent="0.35">
      <c r="A126" s="5" t="s">
        <v>162</v>
      </c>
      <c r="B126" s="295"/>
      <c r="C126" s="296"/>
      <c r="D126" s="296"/>
      <c r="E126" s="296"/>
      <c r="F126" s="297"/>
    </row>
    <row r="127" spans="1:6" x14ac:dyDescent="0.35">
      <c r="A127" s="5" t="s">
        <v>163</v>
      </c>
      <c r="B127" s="295"/>
      <c r="C127" s="296"/>
      <c r="D127" s="296"/>
      <c r="E127" s="296"/>
      <c r="F127" s="297"/>
    </row>
    <row r="128" spans="1:6" x14ac:dyDescent="0.35">
      <c r="A128" s="5" t="s">
        <v>164</v>
      </c>
      <c r="B128" s="295"/>
      <c r="C128" s="296"/>
      <c r="D128" s="296"/>
      <c r="E128" s="296"/>
      <c r="F128" s="297"/>
    </row>
    <row r="129" spans="1:6" x14ac:dyDescent="0.35">
      <c r="A129" s="5" t="s">
        <v>56</v>
      </c>
      <c r="B129" s="295"/>
      <c r="C129" s="296"/>
      <c r="D129" s="296"/>
      <c r="E129" s="296"/>
      <c r="F129" s="297"/>
    </row>
    <row r="130" spans="1:6" x14ac:dyDescent="0.35">
      <c r="A130" s="5" t="s">
        <v>165</v>
      </c>
      <c r="B130" s="295"/>
      <c r="C130" s="296"/>
      <c r="D130" s="296"/>
      <c r="E130" s="296"/>
      <c r="F130" s="297"/>
    </row>
    <row r="131" spans="1:6" x14ac:dyDescent="0.35">
      <c r="A131" s="5" t="s">
        <v>166</v>
      </c>
      <c r="B131" s="295"/>
      <c r="C131" s="296"/>
      <c r="D131" s="296"/>
      <c r="E131" s="296"/>
      <c r="F131" s="297"/>
    </row>
    <row r="132" spans="1:6" x14ac:dyDescent="0.35">
      <c r="A132" s="5" t="s">
        <v>167</v>
      </c>
      <c r="B132" s="295"/>
      <c r="C132" s="296"/>
      <c r="D132" s="296"/>
      <c r="E132" s="296"/>
      <c r="F132" s="297"/>
    </row>
    <row r="133" spans="1:6" x14ac:dyDescent="0.35">
      <c r="A133" s="5" t="s">
        <v>57</v>
      </c>
      <c r="B133" s="295"/>
      <c r="C133" s="296"/>
      <c r="D133" s="296"/>
      <c r="E133" s="296"/>
      <c r="F133" s="297"/>
    </row>
    <row r="134" spans="1:6" x14ac:dyDescent="0.35">
      <c r="A134" s="5" t="s">
        <v>168</v>
      </c>
      <c r="B134" s="295"/>
      <c r="C134" s="296"/>
      <c r="D134" s="296"/>
      <c r="E134" s="296"/>
      <c r="F134" s="297"/>
    </row>
    <row r="135" spans="1:6" x14ac:dyDescent="0.35">
      <c r="A135" s="5" t="s">
        <v>58</v>
      </c>
      <c r="B135" s="295"/>
      <c r="C135" s="296"/>
      <c r="D135" s="296"/>
      <c r="E135" s="296"/>
      <c r="F135" s="297"/>
    </row>
    <row r="136" spans="1:6" x14ac:dyDescent="0.35">
      <c r="A136" s="5" t="s">
        <v>169</v>
      </c>
      <c r="B136" s="295"/>
      <c r="C136" s="296"/>
      <c r="D136" s="296"/>
      <c r="E136" s="296"/>
      <c r="F136" s="297"/>
    </row>
    <row r="137" spans="1:6" x14ac:dyDescent="0.35">
      <c r="A137" s="303" t="s">
        <v>9</v>
      </c>
      <c r="B137" s="295"/>
      <c r="C137" s="296"/>
      <c r="D137" s="296"/>
      <c r="E137" s="296"/>
      <c r="F137" s="297"/>
    </row>
    <row r="138" spans="1:6" ht="15" thickBot="1" x14ac:dyDescent="0.4">
      <c r="A138" s="304" t="s">
        <v>9</v>
      </c>
      <c r="B138" s="295"/>
      <c r="C138" s="296"/>
      <c r="D138" s="296"/>
      <c r="E138" s="296"/>
      <c r="F138" s="297"/>
    </row>
    <row r="139" spans="1:6" ht="15" thickBot="1" x14ac:dyDescent="0.4">
      <c r="A139" s="220" t="s">
        <v>239</v>
      </c>
      <c r="B139" s="28"/>
      <c r="C139" s="28"/>
      <c r="D139" s="28"/>
      <c r="E139" s="28"/>
      <c r="F139" s="29"/>
    </row>
    <row r="140" spans="1:6" x14ac:dyDescent="0.35">
      <c r="A140" s="9" t="s">
        <v>59</v>
      </c>
      <c r="B140" s="295"/>
      <c r="C140" s="296"/>
      <c r="D140" s="296"/>
      <c r="E140" s="296"/>
      <c r="F140" s="296"/>
    </row>
    <row r="141" spans="1:6" x14ac:dyDescent="0.35">
      <c r="A141" s="7" t="s">
        <v>60</v>
      </c>
      <c r="B141" s="295"/>
      <c r="C141" s="296"/>
      <c r="D141" s="296"/>
      <c r="E141" s="296"/>
      <c r="F141" s="296"/>
    </row>
    <row r="142" spans="1:6" x14ac:dyDescent="0.35">
      <c r="A142" s="7" t="s">
        <v>61</v>
      </c>
      <c r="B142" s="295"/>
      <c r="C142" s="296"/>
      <c r="D142" s="296"/>
      <c r="E142" s="296"/>
      <c r="F142" s="296"/>
    </row>
    <row r="143" spans="1:6" x14ac:dyDescent="0.35">
      <c r="A143" s="7" t="s">
        <v>62</v>
      </c>
      <c r="B143" s="295"/>
      <c r="C143" s="296"/>
      <c r="D143" s="296"/>
      <c r="E143" s="296"/>
      <c r="F143" s="296"/>
    </row>
    <row r="144" spans="1:6" x14ac:dyDescent="0.35">
      <c r="A144" s="7" t="s">
        <v>170</v>
      </c>
      <c r="B144" s="295"/>
      <c r="C144" s="296"/>
      <c r="D144" s="296"/>
      <c r="E144" s="296"/>
      <c r="F144" s="296"/>
    </row>
    <row r="145" spans="1:6" x14ac:dyDescent="0.35">
      <c r="A145" s="7" t="s">
        <v>63</v>
      </c>
      <c r="B145" s="295"/>
      <c r="C145" s="296"/>
      <c r="D145" s="296"/>
      <c r="E145" s="296"/>
      <c r="F145" s="296"/>
    </row>
    <row r="146" spans="1:6" x14ac:dyDescent="0.35">
      <c r="A146" s="7" t="s">
        <v>64</v>
      </c>
      <c r="B146" s="295"/>
      <c r="C146" s="296"/>
      <c r="D146" s="296"/>
      <c r="E146" s="296"/>
      <c r="F146" s="296"/>
    </row>
    <row r="147" spans="1:6" ht="15" thickBot="1" x14ac:dyDescent="0.4">
      <c r="A147" s="308" t="s">
        <v>9</v>
      </c>
      <c r="B147" s="298"/>
      <c r="C147" s="299"/>
      <c r="D147" s="299"/>
      <c r="E147" s="299"/>
      <c r="F147" s="299"/>
    </row>
    <row r="148" spans="1:6" ht="16" thickBot="1" x14ac:dyDescent="0.4">
      <c r="A148" s="2" t="s">
        <v>147</v>
      </c>
      <c r="B148" s="3" t="s">
        <v>148</v>
      </c>
      <c r="C148" s="2" t="s">
        <v>149</v>
      </c>
      <c r="D148" s="2" t="s">
        <v>150</v>
      </c>
      <c r="E148" s="2" t="s">
        <v>151</v>
      </c>
      <c r="F148" s="2" t="s">
        <v>152</v>
      </c>
    </row>
    <row r="149" spans="1:6" ht="16" thickBot="1" x14ac:dyDescent="0.4">
      <c r="A149" s="97" t="s">
        <v>187</v>
      </c>
      <c r="B149" s="95"/>
      <c r="C149" s="95"/>
      <c r="D149" s="95"/>
      <c r="E149" s="95"/>
      <c r="F149" s="96"/>
    </row>
    <row r="150" spans="1:6" x14ac:dyDescent="0.35">
      <c r="A150" s="9" t="s">
        <v>65</v>
      </c>
      <c r="B150" s="295"/>
      <c r="C150" s="296"/>
      <c r="D150" s="296"/>
      <c r="E150" s="296"/>
      <c r="F150" s="297"/>
    </row>
    <row r="151" spans="1:6" x14ac:dyDescent="0.35">
      <c r="A151" s="7" t="s">
        <v>66</v>
      </c>
      <c r="B151" s="295"/>
      <c r="C151" s="296"/>
      <c r="D151" s="296"/>
      <c r="E151" s="296"/>
      <c r="F151" s="297"/>
    </row>
    <row r="152" spans="1:6" x14ac:dyDescent="0.35">
      <c r="A152" s="7" t="s">
        <v>67</v>
      </c>
      <c r="B152" s="295"/>
      <c r="C152" s="296"/>
      <c r="D152" s="296"/>
      <c r="E152" s="296"/>
      <c r="F152" s="297"/>
    </row>
    <row r="153" spans="1:6" x14ac:dyDescent="0.35">
      <c r="A153" s="7" t="s">
        <v>175</v>
      </c>
      <c r="B153" s="295"/>
      <c r="C153" s="296"/>
      <c r="D153" s="296"/>
      <c r="E153" s="296"/>
      <c r="F153" s="297"/>
    </row>
    <row r="154" spans="1:6" x14ac:dyDescent="0.35">
      <c r="A154" s="7" t="s">
        <v>176</v>
      </c>
      <c r="B154" s="295"/>
      <c r="C154" s="296"/>
      <c r="D154" s="296"/>
      <c r="E154" s="296"/>
      <c r="F154" s="297"/>
    </row>
    <row r="155" spans="1:6" x14ac:dyDescent="0.35">
      <c r="A155" s="11" t="s">
        <v>177</v>
      </c>
      <c r="B155" s="295"/>
      <c r="C155" s="296"/>
      <c r="D155" s="296"/>
      <c r="E155" s="296"/>
      <c r="F155" s="297"/>
    </row>
    <row r="156" spans="1:6" x14ac:dyDescent="0.35">
      <c r="A156" s="11" t="s">
        <v>178</v>
      </c>
      <c r="B156" s="295"/>
      <c r="C156" s="296"/>
      <c r="D156" s="296"/>
      <c r="E156" s="296"/>
      <c r="F156" s="297"/>
    </row>
    <row r="157" spans="1:6" x14ac:dyDescent="0.35">
      <c r="A157" s="11" t="s">
        <v>179</v>
      </c>
      <c r="B157" s="295"/>
      <c r="C157" s="296"/>
      <c r="D157" s="296"/>
      <c r="E157" s="296"/>
      <c r="F157" s="297"/>
    </row>
    <row r="158" spans="1:6" x14ac:dyDescent="0.35">
      <c r="A158" s="11" t="s">
        <v>180</v>
      </c>
      <c r="B158" s="295"/>
      <c r="C158" s="296"/>
      <c r="D158" s="296"/>
      <c r="E158" s="296"/>
      <c r="F158" s="297"/>
    </row>
    <row r="159" spans="1:6" x14ac:dyDescent="0.35">
      <c r="A159" s="11" t="s">
        <v>181</v>
      </c>
      <c r="B159" s="295"/>
      <c r="C159" s="296"/>
      <c r="D159" s="296"/>
      <c r="E159" s="296"/>
      <c r="F159" s="297"/>
    </row>
    <row r="160" spans="1:6" x14ac:dyDescent="0.35">
      <c r="A160" s="7" t="s">
        <v>182</v>
      </c>
      <c r="B160" s="295"/>
      <c r="C160" s="296"/>
      <c r="D160" s="296"/>
      <c r="E160" s="296"/>
      <c r="F160" s="297"/>
    </row>
    <row r="161" spans="1:6" x14ac:dyDescent="0.35">
      <c r="A161" s="7" t="s">
        <v>68</v>
      </c>
      <c r="B161" s="295"/>
      <c r="C161" s="296"/>
      <c r="D161" s="296"/>
      <c r="E161" s="296"/>
      <c r="F161" s="297"/>
    </row>
    <row r="162" spans="1:6" x14ac:dyDescent="0.35">
      <c r="A162" s="7" t="s">
        <v>183</v>
      </c>
      <c r="B162" s="295"/>
      <c r="C162" s="296"/>
      <c r="D162" s="296"/>
      <c r="E162" s="296"/>
      <c r="F162" s="297"/>
    </row>
    <row r="163" spans="1:6" x14ac:dyDescent="0.35">
      <c r="A163" s="7" t="s">
        <v>184</v>
      </c>
      <c r="B163" s="295"/>
      <c r="C163" s="296"/>
      <c r="D163" s="296"/>
      <c r="E163" s="296"/>
      <c r="F163" s="297"/>
    </row>
    <row r="164" spans="1:6" x14ac:dyDescent="0.35">
      <c r="A164" s="7" t="s">
        <v>185</v>
      </c>
      <c r="B164" s="295"/>
      <c r="C164" s="296"/>
      <c r="D164" s="296"/>
      <c r="E164" s="296"/>
      <c r="F164" s="297"/>
    </row>
    <row r="165" spans="1:6" x14ac:dyDescent="0.35">
      <c r="A165" s="7" t="s">
        <v>186</v>
      </c>
      <c r="B165" s="295"/>
      <c r="C165" s="296"/>
      <c r="D165" s="296"/>
      <c r="E165" s="296"/>
      <c r="F165" s="297"/>
    </row>
    <row r="166" spans="1:6" x14ac:dyDescent="0.35">
      <c r="A166" s="7" t="s">
        <v>69</v>
      </c>
      <c r="B166" s="295"/>
      <c r="C166" s="296"/>
      <c r="D166" s="296"/>
      <c r="E166" s="296"/>
      <c r="F166" s="297"/>
    </row>
    <row r="167" spans="1:6" x14ac:dyDescent="0.35">
      <c r="A167" s="7" t="s">
        <v>70</v>
      </c>
      <c r="B167" s="295"/>
      <c r="C167" s="296"/>
      <c r="D167" s="296"/>
      <c r="E167" s="296"/>
      <c r="F167" s="297"/>
    </row>
    <row r="168" spans="1:6" ht="15" thickBot="1" x14ac:dyDescent="0.4">
      <c r="A168" s="309" t="s">
        <v>9</v>
      </c>
      <c r="B168" s="295"/>
      <c r="C168" s="296"/>
      <c r="D168" s="296"/>
      <c r="E168" s="296"/>
      <c r="F168" s="297"/>
    </row>
    <row r="169" spans="1:6" ht="16" thickBot="1" x14ac:dyDescent="0.4">
      <c r="A169" s="100" t="s">
        <v>188</v>
      </c>
      <c r="B169" s="98"/>
      <c r="C169" s="98"/>
      <c r="D169" s="98"/>
      <c r="E169" s="98"/>
      <c r="F169" s="99"/>
    </row>
    <row r="170" spans="1:6" x14ac:dyDescent="0.35">
      <c r="A170" s="217" t="s">
        <v>71</v>
      </c>
      <c r="B170" s="300"/>
      <c r="C170" s="301"/>
      <c r="D170" s="301"/>
      <c r="E170" s="301"/>
      <c r="F170" s="302"/>
    </row>
    <row r="171" spans="1:6" x14ac:dyDescent="0.35">
      <c r="A171" s="8" t="s">
        <v>72</v>
      </c>
      <c r="B171" s="300"/>
      <c r="C171" s="301"/>
      <c r="D171" s="301"/>
      <c r="E171" s="301"/>
      <c r="F171" s="302"/>
    </row>
    <row r="172" spans="1:6" x14ac:dyDescent="0.35">
      <c r="A172" s="8" t="s">
        <v>73</v>
      </c>
      <c r="B172" s="300"/>
      <c r="C172" s="301"/>
      <c r="D172" s="301"/>
      <c r="E172" s="301"/>
      <c r="F172" s="302"/>
    </row>
    <row r="173" spans="1:6" x14ac:dyDescent="0.35">
      <c r="A173" s="8" t="s">
        <v>189</v>
      </c>
      <c r="B173" s="300"/>
      <c r="C173" s="301"/>
      <c r="D173" s="301"/>
      <c r="E173" s="301"/>
      <c r="F173" s="302"/>
    </row>
    <row r="174" spans="1:6" x14ac:dyDescent="0.35">
      <c r="A174" s="8" t="s">
        <v>190</v>
      </c>
      <c r="B174" s="300"/>
      <c r="C174" s="301"/>
      <c r="D174" s="301"/>
      <c r="E174" s="301"/>
      <c r="F174" s="302"/>
    </row>
    <row r="175" spans="1:6" x14ac:dyDescent="0.35">
      <c r="A175" s="309" t="s">
        <v>9</v>
      </c>
      <c r="B175" s="300"/>
      <c r="C175" s="301"/>
      <c r="D175" s="301"/>
      <c r="E175" s="301"/>
      <c r="F175" s="302"/>
    </row>
    <row r="176" spans="1:6" ht="15" thickBot="1" x14ac:dyDescent="0.4">
      <c r="A176" s="309" t="s">
        <v>9</v>
      </c>
      <c r="B176" s="300"/>
      <c r="C176" s="301"/>
      <c r="D176" s="301"/>
      <c r="E176" s="301"/>
      <c r="F176" s="302"/>
    </row>
    <row r="177" spans="1:6" ht="15" thickBot="1" x14ac:dyDescent="0.4">
      <c r="A177" s="125" t="s">
        <v>237</v>
      </c>
      <c r="B177" s="30"/>
      <c r="C177" s="30"/>
      <c r="D177" s="30"/>
      <c r="E177" s="30"/>
      <c r="F177" s="31"/>
    </row>
    <row r="178" spans="1:6" ht="15" thickBot="1" x14ac:dyDescent="0.4">
      <c r="A178" s="124" t="s">
        <v>74</v>
      </c>
      <c r="B178" s="295"/>
      <c r="C178" s="296"/>
      <c r="D178" s="296"/>
      <c r="E178" s="296"/>
      <c r="F178" s="297"/>
    </row>
    <row r="179" spans="1:6" ht="15" thickBot="1" x14ac:dyDescent="0.4">
      <c r="A179" s="120" t="s">
        <v>75</v>
      </c>
      <c r="B179" s="295"/>
      <c r="C179" s="296"/>
      <c r="D179" s="296"/>
      <c r="E179" s="296"/>
      <c r="F179" s="297"/>
    </row>
    <row r="180" spans="1:6" ht="15" thickBot="1" x14ac:dyDescent="0.4">
      <c r="A180" s="121" t="s">
        <v>76</v>
      </c>
      <c r="B180" s="295"/>
      <c r="C180" s="296"/>
      <c r="D180" s="296"/>
      <c r="E180" s="296"/>
      <c r="F180" s="297"/>
    </row>
    <row r="181" spans="1:6" ht="15" thickBot="1" x14ac:dyDescent="0.4">
      <c r="A181" s="122" t="s">
        <v>40</v>
      </c>
      <c r="B181" s="295"/>
      <c r="C181" s="296"/>
      <c r="D181" s="296"/>
      <c r="E181" s="296"/>
      <c r="F181" s="297"/>
    </row>
    <row r="182" spans="1:6" ht="15" thickBot="1" x14ac:dyDescent="0.4">
      <c r="A182" s="121" t="s">
        <v>77</v>
      </c>
      <c r="B182" s="295"/>
      <c r="C182" s="296"/>
      <c r="D182" s="296"/>
      <c r="E182" s="296"/>
      <c r="F182" s="297"/>
    </row>
    <row r="183" spans="1:6" ht="15" thickBot="1" x14ac:dyDescent="0.4">
      <c r="A183" s="120" t="s">
        <v>194</v>
      </c>
      <c r="B183" s="295"/>
      <c r="C183" s="296"/>
      <c r="D183" s="296"/>
      <c r="E183" s="296"/>
      <c r="F183" s="297"/>
    </row>
    <row r="184" spans="1:6" ht="15" thickBot="1" x14ac:dyDescent="0.4">
      <c r="A184" s="121" t="s">
        <v>78</v>
      </c>
      <c r="B184" s="295"/>
      <c r="C184" s="296"/>
      <c r="D184" s="296"/>
      <c r="E184" s="296"/>
      <c r="F184" s="297"/>
    </row>
    <row r="185" spans="1:6" ht="15" thickBot="1" x14ac:dyDescent="0.4">
      <c r="A185" s="120" t="s">
        <v>195</v>
      </c>
      <c r="B185" s="295"/>
      <c r="C185" s="296"/>
      <c r="D185" s="296"/>
      <c r="E185" s="296"/>
      <c r="F185" s="297"/>
    </row>
    <row r="186" spans="1:6" ht="15" thickBot="1" x14ac:dyDescent="0.4">
      <c r="A186" s="121" t="s">
        <v>79</v>
      </c>
      <c r="B186" s="295"/>
      <c r="C186" s="296"/>
      <c r="D186" s="296"/>
      <c r="E186" s="296"/>
      <c r="F186" s="297"/>
    </row>
    <row r="187" spans="1:6" ht="15" thickBot="1" x14ac:dyDescent="0.4">
      <c r="A187" s="120" t="s">
        <v>196</v>
      </c>
      <c r="B187" s="295"/>
      <c r="C187" s="296"/>
      <c r="D187" s="296"/>
      <c r="E187" s="296"/>
      <c r="F187" s="297"/>
    </row>
    <row r="188" spans="1:6" ht="15" thickBot="1" x14ac:dyDescent="0.4">
      <c r="A188" s="121" t="s">
        <v>80</v>
      </c>
      <c r="B188" s="295"/>
      <c r="C188" s="296"/>
      <c r="D188" s="296"/>
      <c r="E188" s="296"/>
      <c r="F188" s="297"/>
    </row>
    <row r="189" spans="1:6" ht="15" thickBot="1" x14ac:dyDescent="0.4">
      <c r="A189" s="120" t="s">
        <v>81</v>
      </c>
      <c r="B189" s="295"/>
      <c r="C189" s="296"/>
      <c r="D189" s="296"/>
      <c r="E189" s="296"/>
      <c r="F189" s="297"/>
    </row>
    <row r="190" spans="1:6" ht="15" thickBot="1" x14ac:dyDescent="0.4">
      <c r="A190" s="121" t="s">
        <v>197</v>
      </c>
      <c r="B190" s="295"/>
      <c r="C190" s="296"/>
      <c r="D190" s="296"/>
      <c r="E190" s="296"/>
      <c r="F190" s="297"/>
    </row>
    <row r="191" spans="1:6" ht="15" thickBot="1" x14ac:dyDescent="0.4">
      <c r="A191" s="120" t="s">
        <v>82</v>
      </c>
      <c r="B191" s="295"/>
      <c r="C191" s="296"/>
      <c r="D191" s="296"/>
      <c r="E191" s="296"/>
      <c r="F191" s="297"/>
    </row>
    <row r="192" spans="1:6" ht="15" thickBot="1" x14ac:dyDescent="0.4">
      <c r="A192" s="121" t="s">
        <v>83</v>
      </c>
      <c r="B192" s="295"/>
      <c r="C192" s="296"/>
      <c r="D192" s="296"/>
      <c r="E192" s="296"/>
      <c r="F192" s="297"/>
    </row>
    <row r="193" spans="1:6" x14ac:dyDescent="0.35">
      <c r="A193" s="120" t="s">
        <v>198</v>
      </c>
      <c r="B193" s="295"/>
      <c r="C193" s="296"/>
      <c r="D193" s="296"/>
      <c r="E193" s="296"/>
      <c r="F193" s="297"/>
    </row>
    <row r="194" spans="1:6" ht="15" thickBot="1" x14ac:dyDescent="0.4">
      <c r="A194" s="123" t="s">
        <v>199</v>
      </c>
      <c r="B194" s="295"/>
      <c r="C194" s="296"/>
      <c r="D194" s="296"/>
      <c r="E194" s="296"/>
      <c r="F194" s="297"/>
    </row>
    <row r="195" spans="1:6" ht="15" thickBot="1" x14ac:dyDescent="0.4">
      <c r="A195" s="310" t="s">
        <v>9</v>
      </c>
      <c r="B195" s="295"/>
      <c r="C195" s="296"/>
      <c r="D195" s="296"/>
      <c r="E195" s="296"/>
      <c r="F195" s="297"/>
    </row>
    <row r="196" spans="1:6" ht="15" thickBot="1" x14ac:dyDescent="0.4">
      <c r="A196" s="311" t="s">
        <v>9</v>
      </c>
      <c r="B196" s="295"/>
      <c r="C196" s="296"/>
      <c r="D196" s="296"/>
      <c r="E196" s="296"/>
      <c r="F196" s="297"/>
    </row>
  </sheetData>
  <sheetProtection algorithmName="SHA-512" hashValue="uNGnntwKBsbDZ6px5WZxxzJ8Cp1ToWAiFp7emCVp2njclegFS2Rd2Id0tCQ9rEF+F+pN8iALdPtGnINBPUhKUg==" saltValue="4pJbwgMkSWVymx5jKbThSA==" spinCount="100000" sheet="1" objects="1" scenarios="1" selectLockedCells="1"/>
  <sortState ref="A44:A49">
    <sortCondition ref="A51"/>
  </sortState>
  <mergeCells count="1">
    <mergeCell ref="A1:F2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Y210"/>
  <sheetViews>
    <sheetView showGridLines="0" zoomScaleNormal="100" zoomScaleSheetLayoutView="100" workbookViewId="0">
      <selection activeCell="B14" sqref="B14"/>
    </sheetView>
  </sheetViews>
  <sheetFormatPr defaultColWidth="9" defaultRowHeight="14.5" x14ac:dyDescent="0.35"/>
  <cols>
    <col min="1" max="1" width="29.90625" style="33" bestFit="1" customWidth="1"/>
    <col min="2" max="2" width="11.90625" style="33" bestFit="1" customWidth="1"/>
    <col min="3" max="3" width="11.6328125" style="33" customWidth="1"/>
    <col min="4" max="4" width="11" style="33" bestFit="1" customWidth="1"/>
    <col min="5" max="5" width="13.90625" style="33" bestFit="1" customWidth="1"/>
    <col min="6" max="6" width="9.26953125" style="33" bestFit="1" customWidth="1"/>
    <col min="7" max="7" width="15.08984375" style="33" bestFit="1" customWidth="1"/>
    <col min="8" max="8" width="13.36328125" style="33" customWidth="1"/>
    <col min="9" max="9" width="11" style="33" hidden="1" customWidth="1"/>
    <col min="10" max="10" width="9" style="33" hidden="1" customWidth="1"/>
    <col min="11" max="11" width="34.6328125" style="33" hidden="1" customWidth="1"/>
    <col min="12" max="12" width="13.6328125" style="33" hidden="1" customWidth="1"/>
    <col min="13" max="13" width="10.6328125" style="33" hidden="1" customWidth="1"/>
    <col min="14" max="14" width="33.36328125" style="33" hidden="1" customWidth="1"/>
    <col min="15" max="15" width="21.36328125" style="33" hidden="1" customWidth="1"/>
    <col min="16" max="16" width="12.6328125" style="33" hidden="1" customWidth="1"/>
    <col min="17" max="17" width="32.08984375" style="33" hidden="1" customWidth="1"/>
    <col min="18" max="18" width="11.90625" style="33" hidden="1" customWidth="1"/>
    <col min="19" max="19" width="10.6328125" style="33" hidden="1" customWidth="1"/>
    <col min="20" max="20" width="30.08984375" style="33" hidden="1" customWidth="1"/>
    <col min="21" max="21" width="11.90625" style="33" hidden="1" customWidth="1"/>
    <col min="22" max="22" width="9" style="33" hidden="1" customWidth="1"/>
    <col min="23" max="23" width="9" style="33" customWidth="1"/>
    <col min="24" max="24" width="26.7265625" style="33" bestFit="1" customWidth="1"/>
    <col min="25" max="25" width="25.36328125" style="33" customWidth="1"/>
    <col min="26" max="16384" width="9" style="33"/>
  </cols>
  <sheetData>
    <row r="1" spans="1:25" x14ac:dyDescent="0.35">
      <c r="X1" s="48" t="s">
        <v>84</v>
      </c>
      <c r="Y1" s="48" t="s">
        <v>108</v>
      </c>
    </row>
    <row r="2" spans="1:25" x14ac:dyDescent="0.35">
      <c r="X2" s="49" t="s">
        <v>153</v>
      </c>
      <c r="Y2" s="50">
        <f>H24</f>
        <v>0</v>
      </c>
    </row>
    <row r="3" spans="1:25" ht="15" thickBot="1" x14ac:dyDescent="0.4">
      <c r="X3" s="51" t="s">
        <v>246</v>
      </c>
      <c r="Y3" s="52">
        <f>H48</f>
        <v>0</v>
      </c>
    </row>
    <row r="4" spans="1:25" ht="15" thickBot="1" x14ac:dyDescent="0.4">
      <c r="X4" s="111" t="s">
        <v>193</v>
      </c>
      <c r="Y4" s="127">
        <f>H57</f>
        <v>0</v>
      </c>
    </row>
    <row r="5" spans="1:25" x14ac:dyDescent="0.35">
      <c r="X5" s="53" t="s">
        <v>155</v>
      </c>
      <c r="Y5" s="54">
        <f>H127</f>
        <v>0</v>
      </c>
    </row>
    <row r="6" spans="1:25" x14ac:dyDescent="0.35">
      <c r="X6" s="55" t="s">
        <v>154</v>
      </c>
      <c r="Y6" s="56">
        <f>H95</f>
        <v>0</v>
      </c>
    </row>
    <row r="7" spans="1:25" x14ac:dyDescent="0.35">
      <c r="X7" s="57" t="s">
        <v>188</v>
      </c>
      <c r="Y7" s="58">
        <f>H188</f>
        <v>0</v>
      </c>
    </row>
    <row r="8" spans="1:25" ht="15" thickBot="1" x14ac:dyDescent="0.4">
      <c r="X8" s="59" t="s">
        <v>156</v>
      </c>
      <c r="Y8" s="60">
        <f>H148</f>
        <v>0</v>
      </c>
    </row>
    <row r="9" spans="1:25" ht="15" thickBot="1" x14ac:dyDescent="0.4">
      <c r="A9" s="136" t="s">
        <v>153</v>
      </c>
      <c r="B9" s="137" t="s">
        <v>85</v>
      </c>
      <c r="C9" s="137" t="s">
        <v>0</v>
      </c>
      <c r="D9" s="137" t="s">
        <v>86</v>
      </c>
      <c r="E9" s="137" t="s">
        <v>1</v>
      </c>
      <c r="F9" s="137" t="s">
        <v>87</v>
      </c>
      <c r="G9" s="137" t="s">
        <v>88</v>
      </c>
      <c r="H9" s="138" t="s">
        <v>89</v>
      </c>
      <c r="X9" s="61" t="s">
        <v>187</v>
      </c>
      <c r="Y9" s="62">
        <f>H179</f>
        <v>0</v>
      </c>
    </row>
    <row r="10" spans="1:25" s="35" customFormat="1" ht="15" thickBot="1" x14ac:dyDescent="0.4">
      <c r="A10" s="4" t="s">
        <v>109</v>
      </c>
      <c r="B10" s="135">
        <f>IF('Client Load Sheet'!C5&gt;0,'Client Load Sheet'!C5,(VLOOKUP(A10,Table816[],2,FALSE)))</f>
        <v>100</v>
      </c>
      <c r="C10" s="135">
        <f>'Client Load Sheet'!B5</f>
        <v>0</v>
      </c>
      <c r="D10" s="135">
        <f>'Client Load Sheet'!E5</f>
        <v>0</v>
      </c>
      <c r="E10" s="135">
        <f>'Client Load Sheet'!F5</f>
        <v>0</v>
      </c>
      <c r="F10" s="135">
        <f>VLOOKUP(Table22[[#This Row],[LIGHTS]],Table816[],3,FALSE)</f>
        <v>0</v>
      </c>
      <c r="G10" s="135">
        <f>B10*C10*D10*E10</f>
        <v>0</v>
      </c>
      <c r="H10" s="135">
        <f t="shared" ref="H10:H23" si="0">ROUNDUP(G10/7,0)</f>
        <v>0</v>
      </c>
      <c r="K10" s="36" t="s">
        <v>246</v>
      </c>
      <c r="L10" s="36" t="s">
        <v>85</v>
      </c>
      <c r="M10" s="36" t="s">
        <v>87</v>
      </c>
      <c r="N10" s="37" t="s">
        <v>155</v>
      </c>
      <c r="O10" s="37" t="s">
        <v>85</v>
      </c>
      <c r="P10" s="37" t="s">
        <v>87</v>
      </c>
      <c r="Q10" s="38" t="s">
        <v>154</v>
      </c>
      <c r="R10" s="38" t="s">
        <v>85</v>
      </c>
      <c r="S10" s="38" t="s">
        <v>87</v>
      </c>
      <c r="T10" s="39" t="s">
        <v>237</v>
      </c>
      <c r="U10" s="39" t="s">
        <v>85</v>
      </c>
      <c r="V10" s="39" t="s">
        <v>87</v>
      </c>
      <c r="X10" s="63" t="s">
        <v>238</v>
      </c>
      <c r="Y10" s="64">
        <f>H107</f>
        <v>0</v>
      </c>
    </row>
    <row r="11" spans="1:25" ht="15" thickBot="1" x14ac:dyDescent="0.4">
      <c r="A11" s="5" t="s">
        <v>110</v>
      </c>
      <c r="B11" s="135">
        <f>IF('Client Load Sheet'!C6&gt;0,'Client Load Sheet'!C6,(VLOOKUP(A11,Table816[],2,FALSE)))</f>
        <v>60</v>
      </c>
      <c r="C11" s="13">
        <f>'Client Load Sheet'!B6</f>
        <v>0</v>
      </c>
      <c r="D11" s="135">
        <f>'Client Load Sheet'!E6</f>
        <v>0</v>
      </c>
      <c r="E11" s="135">
        <f>'Client Load Sheet'!F6</f>
        <v>0</v>
      </c>
      <c r="F11" s="13">
        <f>VLOOKUP(Table22[[#This Row],[LIGHTS]],Table816[],3,FALSE)</f>
        <v>0</v>
      </c>
      <c r="G11" s="13">
        <f t="shared" ref="G11" si="1">B11*C11*D11*E11</f>
        <v>0</v>
      </c>
      <c r="H11" s="13">
        <f t="shared" si="0"/>
        <v>0</v>
      </c>
      <c r="K11" s="208" t="s">
        <v>114</v>
      </c>
      <c r="L11" s="17">
        <v>35</v>
      </c>
      <c r="M11" s="17">
        <v>0</v>
      </c>
      <c r="N11" s="17" t="s">
        <v>39</v>
      </c>
      <c r="O11" s="17">
        <v>10</v>
      </c>
      <c r="P11" s="17">
        <v>0</v>
      </c>
      <c r="Q11" s="4" t="s">
        <v>24</v>
      </c>
      <c r="R11" s="17">
        <v>2000</v>
      </c>
      <c r="S11" s="17" t="s">
        <v>90</v>
      </c>
      <c r="T11" s="112" t="s">
        <v>74</v>
      </c>
      <c r="U11" s="40">
        <v>1400</v>
      </c>
      <c r="V11" s="40">
        <v>2500</v>
      </c>
      <c r="X11" s="65" t="s">
        <v>239</v>
      </c>
      <c r="Y11" s="66">
        <f>H158</f>
        <v>0</v>
      </c>
    </row>
    <row r="12" spans="1:25" ht="15" thickBot="1" x14ac:dyDescent="0.4">
      <c r="A12" s="5" t="s">
        <v>111</v>
      </c>
      <c r="B12" s="135">
        <f>IF('Client Load Sheet'!C7&gt;0,'Client Load Sheet'!C7,(VLOOKUP(A12,Table816[],2,FALSE)))</f>
        <v>40</v>
      </c>
      <c r="C12" s="13">
        <f>'Client Load Sheet'!B7</f>
        <v>0</v>
      </c>
      <c r="D12" s="135">
        <f>'Client Load Sheet'!E7</f>
        <v>0</v>
      </c>
      <c r="E12" s="135">
        <f>'Client Load Sheet'!F7</f>
        <v>0</v>
      </c>
      <c r="F12" s="14">
        <f>VLOOKUP(Table22[[#This Row],[LIGHTS]],Table816[],3,FALSE)</f>
        <v>0</v>
      </c>
      <c r="G12" s="13">
        <f t="shared" ref="G12:G23" si="2">B12*C12*D12*E12</f>
        <v>0</v>
      </c>
      <c r="H12" s="13">
        <f t="shared" si="0"/>
        <v>0</v>
      </c>
      <c r="K12" s="209" t="s">
        <v>115</v>
      </c>
      <c r="L12" s="17">
        <v>20</v>
      </c>
      <c r="M12" s="17">
        <v>0</v>
      </c>
      <c r="N12" s="17" t="s">
        <v>40</v>
      </c>
      <c r="O12" s="17">
        <v>50</v>
      </c>
      <c r="P12" s="17">
        <v>0</v>
      </c>
      <c r="Q12" s="5" t="s">
        <v>25</v>
      </c>
      <c r="R12" s="17">
        <v>500</v>
      </c>
      <c r="S12" s="17">
        <v>0</v>
      </c>
      <c r="T12" s="113" t="s">
        <v>75</v>
      </c>
      <c r="U12" s="40">
        <v>600</v>
      </c>
      <c r="V12" s="40">
        <v>0</v>
      </c>
      <c r="X12" s="67" t="s">
        <v>237</v>
      </c>
      <c r="Y12" s="68">
        <f>H209</f>
        <v>0</v>
      </c>
    </row>
    <row r="13" spans="1:25" ht="15" thickBot="1" x14ac:dyDescent="0.4">
      <c r="A13" s="5" t="s">
        <v>112</v>
      </c>
      <c r="B13" s="135">
        <f>IF('Client Load Sheet'!C8&gt;0,'Client Load Sheet'!C8,(VLOOKUP(A13,Table816[],2,FALSE)))</f>
        <v>72</v>
      </c>
      <c r="C13" s="13">
        <f>'Client Load Sheet'!B8</f>
        <v>0</v>
      </c>
      <c r="D13" s="135">
        <f>'Client Load Sheet'!E8</f>
        <v>0</v>
      </c>
      <c r="E13" s="135">
        <f>'Client Load Sheet'!F8</f>
        <v>0</v>
      </c>
      <c r="F13" s="14">
        <f>VLOOKUP(Table22[[#This Row],[LIGHTS]],Table816[],3,FALSE)</f>
        <v>0</v>
      </c>
      <c r="G13" s="13">
        <f t="shared" si="2"/>
        <v>0</v>
      </c>
      <c r="H13" s="13">
        <f t="shared" si="0"/>
        <v>0</v>
      </c>
      <c r="K13" s="209" t="s">
        <v>116</v>
      </c>
      <c r="L13" s="17">
        <v>50</v>
      </c>
      <c r="M13" s="17">
        <v>0</v>
      </c>
      <c r="N13" s="17" t="s">
        <v>41</v>
      </c>
      <c r="O13" s="17">
        <v>1600</v>
      </c>
      <c r="P13" s="17">
        <v>0</v>
      </c>
      <c r="Q13" s="5" t="s">
        <v>26</v>
      </c>
      <c r="R13" s="17">
        <v>500</v>
      </c>
      <c r="S13" s="17">
        <v>2300</v>
      </c>
      <c r="T13" s="114" t="s">
        <v>76</v>
      </c>
      <c r="U13" s="40">
        <v>1200</v>
      </c>
      <c r="V13" s="40">
        <v>0</v>
      </c>
      <c r="X13" s="128"/>
      <c r="Y13" s="128"/>
    </row>
    <row r="14" spans="1:25" ht="19" thickBot="1" x14ac:dyDescent="0.5">
      <c r="A14" s="5" t="s">
        <v>113</v>
      </c>
      <c r="B14" s="135">
        <f>IF('Client Load Sheet'!C9&gt;0,'Client Load Sheet'!C9,(VLOOKUP(A14,Table816[],2,FALSE)))</f>
        <v>40</v>
      </c>
      <c r="C14" s="13">
        <f>'Client Load Sheet'!B9</f>
        <v>0</v>
      </c>
      <c r="D14" s="135">
        <f>'Client Load Sheet'!E9</f>
        <v>0</v>
      </c>
      <c r="E14" s="135">
        <f>'Client Load Sheet'!F9</f>
        <v>0</v>
      </c>
      <c r="F14" s="14">
        <f>VLOOKUP(Table22[[#This Row],[LIGHTS]],Table816[],3,FALSE)</f>
        <v>0</v>
      </c>
      <c r="G14" s="13">
        <f t="shared" si="2"/>
        <v>0</v>
      </c>
      <c r="H14" s="13">
        <f t="shared" si="0"/>
        <v>0</v>
      </c>
      <c r="K14" s="209" t="s">
        <v>10</v>
      </c>
      <c r="L14" s="17">
        <v>25</v>
      </c>
      <c r="M14" s="17">
        <v>0</v>
      </c>
      <c r="N14" s="17" t="s">
        <v>42</v>
      </c>
      <c r="O14" s="17">
        <v>5</v>
      </c>
      <c r="P14" s="17">
        <v>0</v>
      </c>
      <c r="Q14" s="5" t="s">
        <v>119</v>
      </c>
      <c r="R14" s="17">
        <v>1500</v>
      </c>
      <c r="S14" s="17" t="s">
        <v>90</v>
      </c>
      <c r="T14" s="115" t="s">
        <v>40</v>
      </c>
      <c r="U14" s="34">
        <v>50</v>
      </c>
      <c r="V14" s="34">
        <v>0</v>
      </c>
      <c r="X14" s="287" t="s">
        <v>104</v>
      </c>
      <c r="Y14" s="288">
        <f>SUM(Table47[Wattage])</f>
        <v>0</v>
      </c>
    </row>
    <row r="15" spans="1:25" ht="15" thickBot="1" x14ac:dyDescent="0.4">
      <c r="A15" s="5" t="s">
        <v>2</v>
      </c>
      <c r="B15" s="135">
        <f>IF('Client Load Sheet'!C10&gt;0,'Client Load Sheet'!C10,(VLOOKUP(A15,Table816[],2,FALSE)))</f>
        <v>11</v>
      </c>
      <c r="C15" s="13">
        <f>'Client Load Sheet'!B10</f>
        <v>0</v>
      </c>
      <c r="D15" s="135">
        <f>'Client Load Sheet'!E10</f>
        <v>0</v>
      </c>
      <c r="E15" s="135">
        <f>'Client Load Sheet'!F10</f>
        <v>0</v>
      </c>
      <c r="F15" s="14">
        <f>VLOOKUP(Table22[[#This Row],[LIGHTS]],Table816[],3,FALSE)</f>
        <v>0</v>
      </c>
      <c r="G15" s="13">
        <f t="shared" si="2"/>
        <v>0</v>
      </c>
      <c r="H15" s="13">
        <f t="shared" si="0"/>
        <v>0</v>
      </c>
      <c r="K15" s="209" t="s">
        <v>117</v>
      </c>
      <c r="L15" s="17">
        <v>120</v>
      </c>
      <c r="M15" s="17">
        <v>0</v>
      </c>
      <c r="N15" s="17" t="s">
        <v>43</v>
      </c>
      <c r="O15" s="17">
        <v>120</v>
      </c>
      <c r="P15" s="17">
        <v>0</v>
      </c>
      <c r="Q15" s="5" t="s">
        <v>120</v>
      </c>
      <c r="R15" s="17">
        <v>600</v>
      </c>
      <c r="S15" s="17">
        <v>0</v>
      </c>
      <c r="T15" s="114" t="s">
        <v>77</v>
      </c>
      <c r="U15" s="40">
        <v>1200</v>
      </c>
      <c r="V15" s="40">
        <v>0</v>
      </c>
      <c r="X15" s="35"/>
      <c r="Y15" s="35"/>
    </row>
    <row r="16" spans="1:25" s="35" customFormat="1" ht="15" thickBot="1" x14ac:dyDescent="0.4">
      <c r="A16" s="5" t="s">
        <v>3</v>
      </c>
      <c r="B16" s="135">
        <f>IF('Client Load Sheet'!C11&gt;0,'Client Load Sheet'!C11,(VLOOKUP(A16,Table816[],2,FALSE)))</f>
        <v>20</v>
      </c>
      <c r="C16" s="13">
        <f>'Client Load Sheet'!B11</f>
        <v>0</v>
      </c>
      <c r="D16" s="135">
        <f>'Client Load Sheet'!E11</f>
        <v>0</v>
      </c>
      <c r="E16" s="135">
        <f>'Client Load Sheet'!F11</f>
        <v>0</v>
      </c>
      <c r="F16" s="14">
        <f>VLOOKUP(Table22[[#This Row],[LIGHTS]],Table816[],3,FALSE)</f>
        <v>0</v>
      </c>
      <c r="G16" s="13">
        <f t="shared" si="2"/>
        <v>0</v>
      </c>
      <c r="H16" s="13">
        <f t="shared" si="0"/>
        <v>0</v>
      </c>
      <c r="K16" s="209" t="s">
        <v>11</v>
      </c>
      <c r="L16" s="17">
        <v>150</v>
      </c>
      <c r="M16" s="17">
        <v>0</v>
      </c>
      <c r="N16" s="34" t="s">
        <v>44</v>
      </c>
      <c r="O16" s="17">
        <v>600</v>
      </c>
      <c r="P16" s="17">
        <v>0</v>
      </c>
      <c r="Q16" s="5" t="s">
        <v>121</v>
      </c>
      <c r="R16" s="17">
        <v>1000</v>
      </c>
      <c r="S16" s="17">
        <v>0</v>
      </c>
      <c r="T16" s="113" t="s">
        <v>194</v>
      </c>
      <c r="U16" s="15">
        <v>1000</v>
      </c>
      <c r="V16" s="15">
        <v>900</v>
      </c>
      <c r="X16" s="33"/>
      <c r="Y16" s="33"/>
    </row>
    <row r="17" spans="1:25" ht="15" thickBot="1" x14ac:dyDescent="0.4">
      <c r="A17" s="5" t="s">
        <v>4</v>
      </c>
      <c r="B17" s="135">
        <f>IF('Client Load Sheet'!C12&gt;0,'Client Load Sheet'!C12,(VLOOKUP(A17,Table816[],2,FALSE)))</f>
        <v>30</v>
      </c>
      <c r="C17" s="13">
        <f>'Client Load Sheet'!B12</f>
        <v>0</v>
      </c>
      <c r="D17" s="135">
        <f>'Client Load Sheet'!E12</f>
        <v>0</v>
      </c>
      <c r="E17" s="135">
        <f>'Client Load Sheet'!F12</f>
        <v>0</v>
      </c>
      <c r="F17" s="14">
        <f>VLOOKUP(Table22[[#This Row],[LIGHTS]],Table816[],3,FALSE)</f>
        <v>0</v>
      </c>
      <c r="G17" s="13">
        <f t="shared" si="2"/>
        <v>0</v>
      </c>
      <c r="H17" s="13">
        <f t="shared" si="0"/>
        <v>0</v>
      </c>
      <c r="K17" s="209" t="s">
        <v>12</v>
      </c>
      <c r="L17" s="17">
        <v>50</v>
      </c>
      <c r="M17" s="17">
        <v>0</v>
      </c>
      <c r="N17" s="17" t="s">
        <v>45</v>
      </c>
      <c r="O17" s="17">
        <v>10</v>
      </c>
      <c r="P17" s="17">
        <v>0</v>
      </c>
      <c r="Q17" s="5" t="s">
        <v>122</v>
      </c>
      <c r="R17" s="17">
        <v>1800</v>
      </c>
      <c r="S17" s="17">
        <v>0</v>
      </c>
      <c r="T17" s="114" t="s">
        <v>78</v>
      </c>
      <c r="U17" s="40">
        <v>2500</v>
      </c>
      <c r="V17" s="40">
        <v>0</v>
      </c>
    </row>
    <row r="18" spans="1:25" ht="15" thickBot="1" x14ac:dyDescent="0.4">
      <c r="A18" s="5" t="s">
        <v>5</v>
      </c>
      <c r="B18" s="135">
        <f>IF('Client Load Sheet'!C13&gt;0,'Client Load Sheet'!C13,(VLOOKUP(A18,Table816[],2,FALSE)))</f>
        <v>15</v>
      </c>
      <c r="C18" s="13">
        <f>'Client Load Sheet'!B13</f>
        <v>0</v>
      </c>
      <c r="D18" s="135">
        <f>'Client Load Sheet'!E13</f>
        <v>0</v>
      </c>
      <c r="E18" s="135">
        <f>'Client Load Sheet'!F13</f>
        <v>0</v>
      </c>
      <c r="F18" s="14">
        <f>VLOOKUP(Table22[[#This Row],[LIGHTS]],Table816[],3,FALSE)</f>
        <v>0</v>
      </c>
      <c r="G18" s="13">
        <f t="shared" si="2"/>
        <v>0</v>
      </c>
      <c r="H18" s="13">
        <f t="shared" si="0"/>
        <v>0</v>
      </c>
      <c r="K18" s="209" t="s">
        <v>118</v>
      </c>
      <c r="L18" s="17">
        <v>60</v>
      </c>
      <c r="M18" s="17">
        <v>0</v>
      </c>
      <c r="N18" s="17" t="s">
        <v>46</v>
      </c>
      <c r="O18" s="17">
        <v>100</v>
      </c>
      <c r="P18" s="17">
        <v>0</v>
      </c>
      <c r="Q18" s="5" t="s">
        <v>27</v>
      </c>
      <c r="R18" s="17">
        <v>1000</v>
      </c>
      <c r="S18" s="17" t="s">
        <v>92</v>
      </c>
      <c r="T18" s="113" t="s">
        <v>195</v>
      </c>
      <c r="U18" s="40">
        <v>1500</v>
      </c>
      <c r="V18" s="40">
        <v>0</v>
      </c>
    </row>
    <row r="19" spans="1:25" ht="15" thickBot="1" x14ac:dyDescent="0.4">
      <c r="A19" s="5" t="s">
        <v>6</v>
      </c>
      <c r="B19" s="135">
        <f>IF('Client Load Sheet'!C14&gt;0,'Client Load Sheet'!C14,(VLOOKUP(A19,Table816[],2,FALSE)))</f>
        <v>20</v>
      </c>
      <c r="C19" s="13">
        <f>'Client Load Sheet'!B14</f>
        <v>0</v>
      </c>
      <c r="D19" s="135">
        <f>'Client Load Sheet'!E14</f>
        <v>0</v>
      </c>
      <c r="E19" s="135">
        <f>'Client Load Sheet'!F14</f>
        <v>0</v>
      </c>
      <c r="F19" s="14">
        <f>VLOOKUP(Table22[[#This Row],[LIGHTS]],Table816[],3,FALSE)</f>
        <v>0</v>
      </c>
      <c r="G19" s="13">
        <f t="shared" si="2"/>
        <v>0</v>
      </c>
      <c r="H19" s="13">
        <f t="shared" si="0"/>
        <v>0</v>
      </c>
      <c r="K19" s="209" t="s">
        <v>13</v>
      </c>
      <c r="L19" s="17">
        <v>80</v>
      </c>
      <c r="M19" s="17">
        <v>0</v>
      </c>
      <c r="N19" s="17" t="s">
        <v>47</v>
      </c>
      <c r="O19" s="17">
        <v>110</v>
      </c>
      <c r="P19" s="17">
        <v>0</v>
      </c>
      <c r="Q19" s="5" t="s">
        <v>172</v>
      </c>
      <c r="R19" s="17">
        <v>2200</v>
      </c>
      <c r="S19" s="17">
        <v>0</v>
      </c>
      <c r="T19" s="114" t="s">
        <v>79</v>
      </c>
      <c r="U19" s="15">
        <v>9000</v>
      </c>
      <c r="V19" s="15">
        <v>0</v>
      </c>
    </row>
    <row r="20" spans="1:25" ht="15" thickBot="1" x14ac:dyDescent="0.4">
      <c r="A20" s="5" t="s">
        <v>7</v>
      </c>
      <c r="B20" s="135">
        <f>IF('Client Load Sheet'!C15&gt;0,'Client Load Sheet'!C15,(VLOOKUP(A20,Table816[],2,FALSE)))</f>
        <v>18</v>
      </c>
      <c r="C20" s="13">
        <f>'Client Load Sheet'!B15</f>
        <v>0</v>
      </c>
      <c r="D20" s="135">
        <f>'Client Load Sheet'!E15</f>
        <v>0</v>
      </c>
      <c r="E20" s="135">
        <f>'Client Load Sheet'!F15</f>
        <v>0</v>
      </c>
      <c r="F20" s="14">
        <f>VLOOKUP(Table22[[#This Row],[LIGHTS]],Table816[],3,FALSE)</f>
        <v>0</v>
      </c>
      <c r="G20" s="13">
        <f t="shared" si="2"/>
        <v>0</v>
      </c>
      <c r="H20" s="13">
        <f t="shared" si="0"/>
        <v>0</v>
      </c>
      <c r="K20" s="209" t="s">
        <v>14</v>
      </c>
      <c r="L20" s="17">
        <v>90</v>
      </c>
      <c r="M20" s="17">
        <v>0</v>
      </c>
      <c r="N20" s="17" t="s">
        <v>48</v>
      </c>
      <c r="O20" s="17">
        <v>50</v>
      </c>
      <c r="P20" s="17">
        <v>0</v>
      </c>
      <c r="Q20" s="5" t="s">
        <v>171</v>
      </c>
      <c r="R20" s="17">
        <v>1200</v>
      </c>
      <c r="S20" s="17">
        <v>0</v>
      </c>
      <c r="T20" s="113" t="s">
        <v>196</v>
      </c>
      <c r="U20" s="15">
        <v>450</v>
      </c>
      <c r="V20" s="15">
        <v>0</v>
      </c>
    </row>
    <row r="21" spans="1:25" ht="15" thickBot="1" x14ac:dyDescent="0.4">
      <c r="A21" s="5" t="s">
        <v>8</v>
      </c>
      <c r="B21" s="135">
        <f>IF('Client Load Sheet'!C16&gt;0,'Client Load Sheet'!C16,(VLOOKUP(A21,Table816[],2,FALSE)))</f>
        <v>8</v>
      </c>
      <c r="C21" s="13">
        <f>'Client Load Sheet'!B16</f>
        <v>0</v>
      </c>
      <c r="D21" s="135">
        <f>'Client Load Sheet'!E16</f>
        <v>0</v>
      </c>
      <c r="E21" s="135">
        <f>'Client Load Sheet'!F16</f>
        <v>0</v>
      </c>
      <c r="F21" s="14">
        <f>VLOOKUP(Table22[[#This Row],[LIGHTS]],Table816[],3,FALSE)</f>
        <v>0</v>
      </c>
      <c r="G21" s="13">
        <f t="shared" si="2"/>
        <v>0</v>
      </c>
      <c r="H21" s="13">
        <f t="shared" si="0"/>
        <v>0</v>
      </c>
      <c r="K21" s="209" t="s">
        <v>15</v>
      </c>
      <c r="L21" s="17">
        <v>221</v>
      </c>
      <c r="M21" s="17">
        <v>0</v>
      </c>
      <c r="N21" s="17" t="s">
        <v>49</v>
      </c>
      <c r="O21" s="17">
        <v>150</v>
      </c>
      <c r="P21" s="17">
        <v>0</v>
      </c>
      <c r="Q21" s="5" t="s">
        <v>123</v>
      </c>
      <c r="R21" s="17">
        <v>1700</v>
      </c>
      <c r="S21" s="17">
        <v>0</v>
      </c>
      <c r="T21" s="114" t="s">
        <v>80</v>
      </c>
      <c r="U21" s="40">
        <v>1600</v>
      </c>
      <c r="V21" s="40">
        <v>4500</v>
      </c>
    </row>
    <row r="22" spans="1:25" ht="15" thickBot="1" x14ac:dyDescent="0.4">
      <c r="A22" s="5" t="s">
        <v>9</v>
      </c>
      <c r="B22" s="135">
        <f>IF('Client Load Sheet'!C17&gt;0,'Client Load Sheet'!C17,(VLOOKUP(A22,Table816[],2,FALSE)))</f>
        <v>0</v>
      </c>
      <c r="C22" s="13">
        <f>'Client Load Sheet'!B17</f>
        <v>0</v>
      </c>
      <c r="D22" s="135">
        <f>'Client Load Sheet'!E17</f>
        <v>0</v>
      </c>
      <c r="E22" s="135">
        <f>'Client Load Sheet'!F17</f>
        <v>0</v>
      </c>
      <c r="F22" s="14">
        <f>VLOOKUP(Table22[[#This Row],[LIGHTS]],Table816[],3,FALSE)</f>
        <v>0</v>
      </c>
      <c r="G22" s="13">
        <f t="shared" si="2"/>
        <v>0</v>
      </c>
      <c r="H22" s="13">
        <f t="shared" si="0"/>
        <v>0</v>
      </c>
      <c r="K22" s="209" t="s">
        <v>16</v>
      </c>
      <c r="L22" s="17">
        <v>296</v>
      </c>
      <c r="M22" s="17">
        <v>0</v>
      </c>
      <c r="N22" s="17" t="s">
        <v>50</v>
      </c>
      <c r="O22" s="17">
        <v>295</v>
      </c>
      <c r="P22" s="17">
        <v>0</v>
      </c>
      <c r="Q22" s="5" t="s">
        <v>124</v>
      </c>
      <c r="R22" s="17">
        <v>2500</v>
      </c>
      <c r="S22" s="17">
        <v>0</v>
      </c>
      <c r="T22" s="113" t="s">
        <v>81</v>
      </c>
      <c r="U22" s="40">
        <v>300</v>
      </c>
      <c r="V22" s="40">
        <v>0</v>
      </c>
      <c r="X22" s="35"/>
      <c r="Y22" s="35"/>
    </row>
    <row r="23" spans="1:25" s="35" customFormat="1" ht="15" thickBot="1" x14ac:dyDescent="0.4">
      <c r="A23" s="6" t="s">
        <v>9</v>
      </c>
      <c r="B23" s="135">
        <f>IF('Client Load Sheet'!C18&gt;0,'Client Load Sheet'!C18,(VLOOKUP(A23,Table816[],2,FALSE)))</f>
        <v>0</v>
      </c>
      <c r="C23" s="128">
        <f>'Client Load Sheet'!B18</f>
        <v>0</v>
      </c>
      <c r="D23" s="135">
        <f>'Client Load Sheet'!E18</f>
        <v>0</v>
      </c>
      <c r="E23" s="135">
        <f>'Client Load Sheet'!F18</f>
        <v>0</v>
      </c>
      <c r="F23" s="129">
        <f>VLOOKUP(Table22[[#This Row],[LIGHTS]],Table816[],3,FALSE)</f>
        <v>0</v>
      </c>
      <c r="G23" s="128">
        <f t="shared" si="2"/>
        <v>0</v>
      </c>
      <c r="H23" s="128">
        <f t="shared" si="0"/>
        <v>0</v>
      </c>
      <c r="K23" s="209" t="s">
        <v>17</v>
      </c>
      <c r="L23" s="17">
        <v>36</v>
      </c>
      <c r="M23" s="17">
        <v>0</v>
      </c>
      <c r="N23" s="17" t="s">
        <v>51</v>
      </c>
      <c r="O23" s="17">
        <v>375</v>
      </c>
      <c r="P23" s="17">
        <v>0</v>
      </c>
      <c r="Q23" s="5" t="s">
        <v>125</v>
      </c>
      <c r="R23" s="17">
        <v>1400</v>
      </c>
      <c r="S23" s="17">
        <v>0</v>
      </c>
      <c r="T23" s="114" t="s">
        <v>197</v>
      </c>
      <c r="U23" s="40">
        <v>1200</v>
      </c>
      <c r="V23" s="40">
        <v>3600</v>
      </c>
      <c r="X23" s="33"/>
      <c r="Y23" s="33"/>
    </row>
    <row r="24" spans="1:25" ht="15" thickBot="1" x14ac:dyDescent="0.4">
      <c r="A24" s="139"/>
      <c r="B24" s="140"/>
      <c r="C24" s="140"/>
      <c r="D24" s="140"/>
      <c r="E24" s="140"/>
      <c r="F24" s="140"/>
      <c r="G24" s="141" t="s">
        <v>91</v>
      </c>
      <c r="H24" s="142">
        <f>SUM(Table22[Daily Total])</f>
        <v>0</v>
      </c>
      <c r="K24" s="209" t="s">
        <v>18</v>
      </c>
      <c r="L24" s="17">
        <v>185</v>
      </c>
      <c r="M24" s="17">
        <v>0</v>
      </c>
      <c r="N24" s="17" t="s">
        <v>52</v>
      </c>
      <c r="O24" s="17">
        <v>5</v>
      </c>
      <c r="P24" s="17">
        <v>0</v>
      </c>
      <c r="Q24" s="5" t="s">
        <v>126</v>
      </c>
      <c r="R24" s="17">
        <v>2100</v>
      </c>
      <c r="S24" s="17">
        <v>0</v>
      </c>
      <c r="T24" s="113" t="s">
        <v>82</v>
      </c>
      <c r="U24" s="15">
        <v>2000</v>
      </c>
      <c r="V24" s="15">
        <v>2000</v>
      </c>
    </row>
    <row r="25" spans="1:25" ht="16" thickBot="1" x14ac:dyDescent="0.4">
      <c r="A25" s="232" t="s">
        <v>246</v>
      </c>
      <c r="B25" s="233" t="s">
        <v>85</v>
      </c>
      <c r="C25" s="233" t="s">
        <v>0</v>
      </c>
      <c r="D25" s="233" t="s">
        <v>86</v>
      </c>
      <c r="E25" s="233" t="s">
        <v>1</v>
      </c>
      <c r="F25" s="233" t="s">
        <v>87</v>
      </c>
      <c r="G25" s="233" t="s">
        <v>88</v>
      </c>
      <c r="H25" s="234" t="s">
        <v>89</v>
      </c>
      <c r="K25" s="209" t="s">
        <v>19</v>
      </c>
      <c r="L25" s="17">
        <v>109</v>
      </c>
      <c r="M25" s="17">
        <v>0</v>
      </c>
      <c r="N25" s="17" t="s">
        <v>53</v>
      </c>
      <c r="O25" s="17">
        <v>80</v>
      </c>
      <c r="P25" s="17">
        <v>0</v>
      </c>
      <c r="Q25" s="5" t="s">
        <v>28</v>
      </c>
      <c r="R25" s="17">
        <v>350</v>
      </c>
      <c r="S25" s="17" t="s">
        <v>93</v>
      </c>
      <c r="T25" s="114" t="s">
        <v>83</v>
      </c>
      <c r="U25" s="40">
        <v>1000</v>
      </c>
      <c r="V25" s="40">
        <v>0</v>
      </c>
    </row>
    <row r="26" spans="1:25" x14ac:dyDescent="0.35">
      <c r="A26" s="235" t="s">
        <v>114</v>
      </c>
      <c r="B26" s="222">
        <f>IF('Client Load Sheet'!C20&gt;0,'Client Load Sheet'!C20,VLOOKUP(A26,Table55[],2,FALSE))</f>
        <v>35</v>
      </c>
      <c r="C26" s="222">
        <f>'Client Load Sheet'!B20</f>
        <v>0</v>
      </c>
      <c r="D26" s="222">
        <f>'Client Load Sheet'!E20</f>
        <v>0</v>
      </c>
      <c r="E26" s="222">
        <f>'Client Load Sheet'!F20</f>
        <v>0</v>
      </c>
      <c r="F26" s="222">
        <f>VLOOKUP('IPNZ Internal'!$A26,Table55[],3,FALSE)</f>
        <v>0</v>
      </c>
      <c r="G26" s="222">
        <f t="shared" ref="G26:G47" si="3">B26*C26*D26*E26</f>
        <v>0</v>
      </c>
      <c r="H26" s="231">
        <f t="shared" ref="H26:H47" si="4">ROUNDUP(G26/7,0)</f>
        <v>0</v>
      </c>
      <c r="K26" s="209" t="s">
        <v>20</v>
      </c>
      <c r="L26" s="17">
        <v>173</v>
      </c>
      <c r="M26" s="17">
        <v>0</v>
      </c>
      <c r="N26" s="17" t="s">
        <v>54</v>
      </c>
      <c r="O26" s="17">
        <v>10</v>
      </c>
      <c r="P26" s="17">
        <v>0</v>
      </c>
      <c r="Q26" s="5" t="s">
        <v>29</v>
      </c>
      <c r="R26" s="17">
        <v>300</v>
      </c>
      <c r="S26" s="17" t="s">
        <v>93</v>
      </c>
      <c r="T26" s="113" t="s">
        <v>198</v>
      </c>
      <c r="U26" s="40">
        <v>1000</v>
      </c>
      <c r="V26" s="40">
        <v>2300</v>
      </c>
    </row>
    <row r="27" spans="1:25" ht="15" thickBot="1" x14ac:dyDescent="0.4">
      <c r="A27" s="236" t="s">
        <v>115</v>
      </c>
      <c r="B27" s="222">
        <f>IF('Client Load Sheet'!C21&gt;0,'Client Load Sheet'!C21,VLOOKUP(A27,Table55[],2,FALSE))</f>
        <v>20</v>
      </c>
      <c r="C27" s="222">
        <f>'Client Load Sheet'!B21</f>
        <v>0</v>
      </c>
      <c r="D27" s="222">
        <f>'Client Load Sheet'!E21</f>
        <v>0</v>
      </c>
      <c r="E27" s="222">
        <f>'Client Load Sheet'!F21</f>
        <v>0</v>
      </c>
      <c r="F27" s="222">
        <f>VLOOKUP('IPNZ Internal'!$A27,Table55[],3,FALSE)</f>
        <v>0</v>
      </c>
      <c r="G27" s="222">
        <f t="shared" si="3"/>
        <v>0</v>
      </c>
      <c r="H27" s="231">
        <f t="shared" si="4"/>
        <v>0</v>
      </c>
      <c r="K27" s="209" t="s">
        <v>21</v>
      </c>
      <c r="L27" s="17">
        <v>220</v>
      </c>
      <c r="M27" s="17">
        <v>0</v>
      </c>
      <c r="N27" s="17" t="s">
        <v>9</v>
      </c>
      <c r="O27" s="17"/>
      <c r="P27" s="17">
        <v>0</v>
      </c>
      <c r="Q27" s="5" t="s">
        <v>30</v>
      </c>
      <c r="R27" s="17">
        <v>2400</v>
      </c>
      <c r="S27" s="17">
        <v>0</v>
      </c>
      <c r="T27" s="116" t="s">
        <v>199</v>
      </c>
      <c r="U27" s="15">
        <v>500</v>
      </c>
      <c r="V27" s="15">
        <v>0</v>
      </c>
    </row>
    <row r="28" spans="1:25" ht="15" thickBot="1" x14ac:dyDescent="0.4">
      <c r="A28" s="236" t="s">
        <v>116</v>
      </c>
      <c r="B28" s="222">
        <f>IF('Client Load Sheet'!C22&gt;0,'Client Load Sheet'!C22,VLOOKUP(A28,Table55[],2,FALSE))</f>
        <v>50</v>
      </c>
      <c r="C28" s="222">
        <f>'Client Load Sheet'!B22</f>
        <v>0</v>
      </c>
      <c r="D28" s="222">
        <f>'Client Load Sheet'!E22</f>
        <v>0</v>
      </c>
      <c r="E28" s="222">
        <f>'Client Load Sheet'!F22</f>
        <v>0</v>
      </c>
      <c r="F28" s="223">
        <f>VLOOKUP('IPNZ Internal'!$A28,Table55[],3,FALSE)</f>
        <v>0</v>
      </c>
      <c r="G28" s="222">
        <f t="shared" si="3"/>
        <v>0</v>
      </c>
      <c r="H28" s="231">
        <f t="shared" si="4"/>
        <v>0</v>
      </c>
      <c r="K28" s="209" t="s">
        <v>22</v>
      </c>
      <c r="L28" s="17">
        <v>300</v>
      </c>
      <c r="M28" s="17">
        <v>0</v>
      </c>
      <c r="N28" s="17"/>
      <c r="O28" s="17"/>
      <c r="P28" s="17"/>
      <c r="Q28" s="5" t="s">
        <v>127</v>
      </c>
      <c r="R28" s="17">
        <v>1200</v>
      </c>
      <c r="S28" s="17">
        <v>0</v>
      </c>
      <c r="T28" s="113" t="s">
        <v>9</v>
      </c>
      <c r="U28" s="15"/>
      <c r="V28" s="15"/>
    </row>
    <row r="29" spans="1:25" ht="15" thickBot="1" x14ac:dyDescent="0.4">
      <c r="A29" s="236" t="s">
        <v>10</v>
      </c>
      <c r="B29" s="222">
        <f>IF('Client Load Sheet'!C23&gt;0,'Client Load Sheet'!C23,VLOOKUP(A29,Table55[],2,FALSE))</f>
        <v>25</v>
      </c>
      <c r="C29" s="222">
        <f>'Client Load Sheet'!B23</f>
        <v>0</v>
      </c>
      <c r="D29" s="222">
        <f>'Client Load Sheet'!E23</f>
        <v>0</v>
      </c>
      <c r="E29" s="222">
        <f>'Client Load Sheet'!F23</f>
        <v>0</v>
      </c>
      <c r="F29" s="223">
        <f>VLOOKUP('IPNZ Internal'!$A29,Table55[],3,FALSE)</f>
        <v>0</v>
      </c>
      <c r="G29" s="222">
        <f t="shared" si="3"/>
        <v>0</v>
      </c>
      <c r="H29" s="231">
        <f t="shared" si="4"/>
        <v>0</v>
      </c>
      <c r="K29" s="209" t="s">
        <v>23</v>
      </c>
      <c r="L29" s="17">
        <v>320</v>
      </c>
      <c r="M29" s="17">
        <v>0</v>
      </c>
      <c r="N29" s="17"/>
      <c r="O29" s="17"/>
      <c r="P29" s="17"/>
      <c r="Q29" s="5" t="s">
        <v>128</v>
      </c>
      <c r="R29" s="17">
        <v>750</v>
      </c>
      <c r="S29" s="17">
        <v>0</v>
      </c>
      <c r="T29" s="117" t="s">
        <v>9</v>
      </c>
      <c r="U29" s="15"/>
      <c r="V29" s="15"/>
      <c r="X29" s="35"/>
      <c r="Y29" s="35"/>
    </row>
    <row r="30" spans="1:25" s="35" customFormat="1" x14ac:dyDescent="0.35">
      <c r="A30" s="236" t="s">
        <v>117</v>
      </c>
      <c r="B30" s="222">
        <f>IF('Client Load Sheet'!C24&gt;0,'Client Load Sheet'!C24,VLOOKUP(A30,Table55[],2,FALSE))</f>
        <v>120</v>
      </c>
      <c r="C30" s="222">
        <f>'Client Load Sheet'!B24</f>
        <v>0</v>
      </c>
      <c r="D30" s="222">
        <f>'Client Load Sheet'!E24</f>
        <v>0</v>
      </c>
      <c r="E30" s="222">
        <f>'Client Load Sheet'!F24</f>
        <v>0</v>
      </c>
      <c r="F30" s="223">
        <f>VLOOKUP('IPNZ Internal'!$A30,Table55[],3,FALSE)</f>
        <v>0</v>
      </c>
      <c r="G30" s="222">
        <f t="shared" si="3"/>
        <v>0</v>
      </c>
      <c r="H30" s="231">
        <f t="shared" si="4"/>
        <v>0</v>
      </c>
      <c r="K30" s="210" t="s">
        <v>9</v>
      </c>
      <c r="L30" s="17"/>
      <c r="M30" s="17">
        <v>0</v>
      </c>
      <c r="N30" s="17"/>
      <c r="O30" s="17"/>
      <c r="P30" s="17"/>
      <c r="Q30" s="5" t="s">
        <v>129</v>
      </c>
      <c r="R30" s="17">
        <v>1500</v>
      </c>
      <c r="S30" s="17">
        <v>0</v>
      </c>
      <c r="T30" s="33"/>
      <c r="U30" s="33"/>
      <c r="V30" s="33"/>
      <c r="X30" s="33"/>
      <c r="Y30" s="33"/>
    </row>
    <row r="31" spans="1:25" ht="15" thickBot="1" x14ac:dyDescent="0.4">
      <c r="A31" s="236" t="s">
        <v>11</v>
      </c>
      <c r="B31" s="222">
        <f>IF('Client Load Sheet'!C25&gt;0,'Client Load Sheet'!C25,VLOOKUP(A31,Table55[],2,FALSE))</f>
        <v>150</v>
      </c>
      <c r="C31" s="222">
        <f>'Client Load Sheet'!B25</f>
        <v>0</v>
      </c>
      <c r="D31" s="222">
        <f>'Client Load Sheet'!E25</f>
        <v>0</v>
      </c>
      <c r="E31" s="222">
        <f>'Client Load Sheet'!F25</f>
        <v>0</v>
      </c>
      <c r="F31" s="223">
        <f>VLOOKUP('IPNZ Internal'!$A31,Table55[],3,FALSE)</f>
        <v>0</v>
      </c>
      <c r="G31" s="222">
        <f t="shared" si="3"/>
        <v>0</v>
      </c>
      <c r="H31" s="231">
        <f t="shared" si="4"/>
        <v>0</v>
      </c>
      <c r="K31" s="12" t="s">
        <v>153</v>
      </c>
      <c r="L31" s="16" t="s">
        <v>85</v>
      </c>
      <c r="M31" s="16" t="s">
        <v>87</v>
      </c>
      <c r="N31" s="41" t="s">
        <v>238</v>
      </c>
      <c r="O31" s="41" t="s">
        <v>85</v>
      </c>
      <c r="P31" s="41" t="s">
        <v>87</v>
      </c>
      <c r="Q31" s="5" t="s">
        <v>130</v>
      </c>
      <c r="R31" s="17">
        <v>1400</v>
      </c>
      <c r="S31" s="17">
        <v>0</v>
      </c>
    </row>
    <row r="32" spans="1:25" x14ac:dyDescent="0.35">
      <c r="A32" s="236" t="s">
        <v>12</v>
      </c>
      <c r="B32" s="222">
        <f>IF('Client Load Sheet'!C26&gt;0,'Client Load Sheet'!C26,VLOOKUP(A32,Table55[],2,FALSE))</f>
        <v>50</v>
      </c>
      <c r="C32" s="222">
        <f>'Client Load Sheet'!B26</f>
        <v>0</v>
      </c>
      <c r="D32" s="222">
        <f>'Client Load Sheet'!E26</f>
        <v>0</v>
      </c>
      <c r="E32" s="222">
        <f>'Client Load Sheet'!F26</f>
        <v>0</v>
      </c>
      <c r="F32" s="223">
        <f>VLOOKUP('IPNZ Internal'!$A32,Table55[],3,FALSE)</f>
        <v>0</v>
      </c>
      <c r="G32" s="222">
        <f t="shared" si="3"/>
        <v>0</v>
      </c>
      <c r="H32" s="231">
        <f t="shared" si="4"/>
        <v>0</v>
      </c>
      <c r="K32" s="211" t="s">
        <v>109</v>
      </c>
      <c r="L32" s="17">
        <v>100</v>
      </c>
      <c r="M32" s="17">
        <v>0</v>
      </c>
      <c r="N32" s="208" t="s">
        <v>36</v>
      </c>
      <c r="O32" s="17">
        <v>700</v>
      </c>
      <c r="P32" s="17">
        <v>1800</v>
      </c>
      <c r="Q32" s="5" t="s">
        <v>131</v>
      </c>
      <c r="R32" s="17">
        <v>1000</v>
      </c>
      <c r="S32" s="17">
        <v>0</v>
      </c>
    </row>
    <row r="33" spans="1:25" x14ac:dyDescent="0.35">
      <c r="A33" s="236" t="s">
        <v>118</v>
      </c>
      <c r="B33" s="222">
        <f>IF('Client Load Sheet'!C27&gt;0,'Client Load Sheet'!C27,VLOOKUP(A33,Table55[],2,FALSE))</f>
        <v>60</v>
      </c>
      <c r="C33" s="222">
        <f>'Client Load Sheet'!B27</f>
        <v>0</v>
      </c>
      <c r="D33" s="222">
        <f>'Client Load Sheet'!E27</f>
        <v>0</v>
      </c>
      <c r="E33" s="222">
        <f>'Client Load Sheet'!F27</f>
        <v>0</v>
      </c>
      <c r="F33" s="223">
        <f>VLOOKUP('IPNZ Internal'!$A33,Table55[],3,FALSE)</f>
        <v>0</v>
      </c>
      <c r="G33" s="222">
        <f t="shared" si="3"/>
        <v>0</v>
      </c>
      <c r="H33" s="231">
        <f t="shared" si="4"/>
        <v>0</v>
      </c>
      <c r="K33" s="209" t="s">
        <v>110</v>
      </c>
      <c r="L33" s="17">
        <v>60</v>
      </c>
      <c r="M33" s="17">
        <v>0</v>
      </c>
      <c r="N33" s="209" t="s">
        <v>37</v>
      </c>
      <c r="O33" s="17">
        <v>2000</v>
      </c>
      <c r="P33" s="17">
        <v>0</v>
      </c>
      <c r="Q33" s="5" t="s">
        <v>132</v>
      </c>
      <c r="R33" s="17">
        <v>140</v>
      </c>
      <c r="S33" s="17">
        <v>0</v>
      </c>
    </row>
    <row r="34" spans="1:25" x14ac:dyDescent="0.35">
      <c r="A34" s="236" t="s">
        <v>13</v>
      </c>
      <c r="B34" s="222">
        <f>IF('Client Load Sheet'!C28&gt;0,'Client Load Sheet'!C28,VLOOKUP(A34,Table55[],2,FALSE))</f>
        <v>80</v>
      </c>
      <c r="C34" s="222">
        <f>'Client Load Sheet'!B28</f>
        <v>0</v>
      </c>
      <c r="D34" s="222">
        <f>'Client Load Sheet'!E28</f>
        <v>0</v>
      </c>
      <c r="E34" s="222">
        <f>'Client Load Sheet'!F28</f>
        <v>0</v>
      </c>
      <c r="F34" s="223">
        <f>VLOOKUP('IPNZ Internal'!$A34,Table55[],3,FALSE)</f>
        <v>0</v>
      </c>
      <c r="G34" s="222">
        <f t="shared" si="3"/>
        <v>0</v>
      </c>
      <c r="H34" s="231">
        <f t="shared" si="4"/>
        <v>0</v>
      </c>
      <c r="K34" s="209" t="s">
        <v>111</v>
      </c>
      <c r="L34" s="17">
        <v>40</v>
      </c>
      <c r="M34" s="17">
        <v>0</v>
      </c>
      <c r="N34" s="209" t="s">
        <v>136</v>
      </c>
      <c r="O34" s="17">
        <v>2500</v>
      </c>
      <c r="P34" s="17">
        <v>1500</v>
      </c>
      <c r="Q34" s="5" t="s">
        <v>133</v>
      </c>
      <c r="R34" s="17">
        <v>700</v>
      </c>
      <c r="S34" s="17">
        <v>0</v>
      </c>
    </row>
    <row r="35" spans="1:25" x14ac:dyDescent="0.35">
      <c r="A35" s="236" t="s">
        <v>14</v>
      </c>
      <c r="B35" s="222">
        <f>IF('Client Load Sheet'!C29&gt;0,'Client Load Sheet'!C29,VLOOKUP(A35,Table55[],2,FALSE))</f>
        <v>90</v>
      </c>
      <c r="C35" s="222">
        <f>'Client Load Sheet'!B29</f>
        <v>0</v>
      </c>
      <c r="D35" s="222">
        <f>'Client Load Sheet'!E29</f>
        <v>0</v>
      </c>
      <c r="E35" s="222">
        <f>'Client Load Sheet'!F29</f>
        <v>0</v>
      </c>
      <c r="F35" s="223">
        <f>VLOOKUP('IPNZ Internal'!$A35,Table55[],3,FALSE)</f>
        <v>0</v>
      </c>
      <c r="G35" s="222">
        <f t="shared" si="3"/>
        <v>0</v>
      </c>
      <c r="H35" s="231">
        <f t="shared" si="4"/>
        <v>0</v>
      </c>
      <c r="K35" s="209" t="s">
        <v>112</v>
      </c>
      <c r="L35" s="17">
        <v>72</v>
      </c>
      <c r="M35" s="17">
        <v>0</v>
      </c>
      <c r="N35" s="209" t="s">
        <v>38</v>
      </c>
      <c r="O35" s="17">
        <v>700</v>
      </c>
      <c r="P35" s="17"/>
      <c r="Q35" s="5" t="s">
        <v>31</v>
      </c>
      <c r="R35" s="17">
        <v>250</v>
      </c>
      <c r="S35" s="17">
        <v>0</v>
      </c>
    </row>
    <row r="36" spans="1:25" x14ac:dyDescent="0.35">
      <c r="A36" s="236" t="s">
        <v>15</v>
      </c>
      <c r="B36" s="222">
        <f>IF('Client Load Sheet'!C30&gt;0,'Client Load Sheet'!C30,VLOOKUP(A36,Table55[],2,FALSE))</f>
        <v>221</v>
      </c>
      <c r="C36" s="222">
        <f>'Client Load Sheet'!B30</f>
        <v>0</v>
      </c>
      <c r="D36" s="222">
        <f>'Client Load Sheet'!E30</f>
        <v>0</v>
      </c>
      <c r="E36" s="222">
        <f>'Client Load Sheet'!F30</f>
        <v>0</v>
      </c>
      <c r="F36" s="223">
        <f>VLOOKUP('IPNZ Internal'!$A36,Table55[],3,FALSE)</f>
        <v>0</v>
      </c>
      <c r="G36" s="222">
        <f t="shared" si="3"/>
        <v>0</v>
      </c>
      <c r="H36" s="231">
        <f t="shared" si="4"/>
        <v>0</v>
      </c>
      <c r="K36" s="209" t="s">
        <v>113</v>
      </c>
      <c r="L36" s="17">
        <v>40</v>
      </c>
      <c r="M36" s="17">
        <v>0</v>
      </c>
      <c r="N36" s="209" t="s">
        <v>137</v>
      </c>
      <c r="O36" s="17">
        <v>1000</v>
      </c>
      <c r="P36" s="17">
        <v>2250</v>
      </c>
      <c r="Q36" s="5" t="s">
        <v>32</v>
      </c>
      <c r="R36" s="17">
        <v>1200</v>
      </c>
      <c r="S36" s="17">
        <v>0</v>
      </c>
    </row>
    <row r="37" spans="1:25" x14ac:dyDescent="0.35">
      <c r="A37" s="236" t="s">
        <v>16</v>
      </c>
      <c r="B37" s="222">
        <f>IF('Client Load Sheet'!C31&gt;0,'Client Load Sheet'!C31,VLOOKUP(A37,Table55[],2,FALSE))</f>
        <v>296</v>
      </c>
      <c r="C37" s="222">
        <f>'Client Load Sheet'!B31</f>
        <v>0</v>
      </c>
      <c r="D37" s="222">
        <f>'Client Load Sheet'!E31</f>
        <v>0</v>
      </c>
      <c r="E37" s="222">
        <f>'Client Load Sheet'!F31</f>
        <v>0</v>
      </c>
      <c r="F37" s="223">
        <f>VLOOKUP('IPNZ Internal'!$A37,Table55[],3,FALSE)</f>
        <v>0</v>
      </c>
      <c r="G37" s="222">
        <f t="shared" si="3"/>
        <v>0</v>
      </c>
      <c r="H37" s="231">
        <f t="shared" si="4"/>
        <v>0</v>
      </c>
      <c r="K37" s="209" t="s">
        <v>2</v>
      </c>
      <c r="L37" s="17">
        <v>11</v>
      </c>
      <c r="M37" s="17">
        <v>0</v>
      </c>
      <c r="N37" s="210" t="s">
        <v>138</v>
      </c>
      <c r="O37" s="17">
        <v>2500</v>
      </c>
      <c r="P37" s="17">
        <v>4000</v>
      </c>
      <c r="Q37" s="5" t="s">
        <v>33</v>
      </c>
      <c r="R37" s="17">
        <v>800</v>
      </c>
      <c r="S37" s="17">
        <v>0</v>
      </c>
    </row>
    <row r="38" spans="1:25" x14ac:dyDescent="0.35">
      <c r="A38" s="236" t="s">
        <v>17</v>
      </c>
      <c r="B38" s="222">
        <f>IF('Client Load Sheet'!C32&gt;0,'Client Load Sheet'!C32,VLOOKUP(A38,Table55[],2,FALSE))</f>
        <v>36</v>
      </c>
      <c r="C38" s="222">
        <f>'Client Load Sheet'!B32</f>
        <v>0</v>
      </c>
      <c r="D38" s="222">
        <f>'Client Load Sheet'!E32</f>
        <v>0</v>
      </c>
      <c r="E38" s="222">
        <f>'Client Load Sheet'!F32</f>
        <v>0</v>
      </c>
      <c r="F38" s="223">
        <f>VLOOKUP('IPNZ Internal'!$A38,Table55[],3,FALSE)</f>
        <v>0</v>
      </c>
      <c r="G38" s="222">
        <f t="shared" si="3"/>
        <v>0</v>
      </c>
      <c r="H38" s="231">
        <f t="shared" si="4"/>
        <v>0</v>
      </c>
      <c r="K38" s="209" t="s">
        <v>3</v>
      </c>
      <c r="L38" s="17">
        <v>20</v>
      </c>
      <c r="M38" s="17">
        <v>0</v>
      </c>
      <c r="N38" s="209" t="s">
        <v>139</v>
      </c>
      <c r="O38" s="17">
        <v>500</v>
      </c>
      <c r="P38" s="17">
        <v>1000</v>
      </c>
      <c r="Q38" s="5" t="s">
        <v>134</v>
      </c>
      <c r="R38" s="17">
        <v>1800</v>
      </c>
      <c r="S38" s="17">
        <v>0</v>
      </c>
    </row>
    <row r="39" spans="1:25" x14ac:dyDescent="0.35">
      <c r="A39" s="236" t="s">
        <v>18</v>
      </c>
      <c r="B39" s="222">
        <f>IF('Client Load Sheet'!C33&gt;0,'Client Load Sheet'!C33,VLOOKUP(A39,Table55[],2,FALSE))</f>
        <v>185</v>
      </c>
      <c r="C39" s="222">
        <f>'Client Load Sheet'!B33</f>
        <v>0</v>
      </c>
      <c r="D39" s="222">
        <f>'Client Load Sheet'!E33</f>
        <v>0</v>
      </c>
      <c r="E39" s="222">
        <f>'Client Load Sheet'!F33</f>
        <v>0</v>
      </c>
      <c r="F39" s="223">
        <f>VLOOKUP('IPNZ Internal'!$A39,Table55[],3,FALSE)</f>
        <v>0</v>
      </c>
      <c r="G39" s="222">
        <f t="shared" si="3"/>
        <v>0</v>
      </c>
      <c r="H39" s="231">
        <f t="shared" si="4"/>
        <v>0</v>
      </c>
      <c r="K39" s="209" t="s">
        <v>4</v>
      </c>
      <c r="L39" s="17">
        <v>30</v>
      </c>
      <c r="M39" s="17">
        <v>0</v>
      </c>
      <c r="N39" s="210" t="s">
        <v>140</v>
      </c>
      <c r="O39" s="17">
        <v>800</v>
      </c>
      <c r="P39" s="17">
        <v>1600</v>
      </c>
      <c r="Q39" s="5" t="s">
        <v>135</v>
      </c>
      <c r="R39" s="17">
        <v>1200</v>
      </c>
      <c r="S39" s="17">
        <v>0</v>
      </c>
    </row>
    <row r="40" spans="1:25" ht="17.25" customHeight="1" x14ac:dyDescent="0.35">
      <c r="A40" s="236" t="s">
        <v>19</v>
      </c>
      <c r="B40" s="222">
        <f>IF('Client Load Sheet'!C34&gt;0,'Client Load Sheet'!C34,VLOOKUP(A40,Table55[],2,FALSE))</f>
        <v>109</v>
      </c>
      <c r="C40" s="222">
        <f>'Client Load Sheet'!B34</f>
        <v>0</v>
      </c>
      <c r="D40" s="222">
        <f>'Client Load Sheet'!E34</f>
        <v>0</v>
      </c>
      <c r="E40" s="222">
        <f>'Client Load Sheet'!F34</f>
        <v>0</v>
      </c>
      <c r="F40" s="223">
        <f>VLOOKUP('IPNZ Internal'!$A40,Table55[],3,FALSE)</f>
        <v>0</v>
      </c>
      <c r="G40" s="222">
        <f t="shared" si="3"/>
        <v>0</v>
      </c>
      <c r="H40" s="231">
        <f t="shared" si="4"/>
        <v>0</v>
      </c>
      <c r="K40" s="209" t="s">
        <v>5</v>
      </c>
      <c r="L40" s="17">
        <v>15</v>
      </c>
      <c r="M40" s="17">
        <v>0</v>
      </c>
      <c r="N40" s="208" t="s">
        <v>9</v>
      </c>
      <c r="O40" s="17"/>
      <c r="P40" s="17"/>
      <c r="Q40" s="5" t="s">
        <v>34</v>
      </c>
      <c r="R40" s="17">
        <v>2000</v>
      </c>
      <c r="S40" s="17">
        <v>0</v>
      </c>
    </row>
    <row r="41" spans="1:25" x14ac:dyDescent="0.35">
      <c r="A41" s="236" t="s">
        <v>20</v>
      </c>
      <c r="B41" s="222">
        <f>IF('Client Load Sheet'!C35&gt;0,'Client Load Sheet'!C35,VLOOKUP(A41,Table55[],2,FALSE))</f>
        <v>173</v>
      </c>
      <c r="C41" s="222">
        <f>'Client Load Sheet'!B35</f>
        <v>0</v>
      </c>
      <c r="D41" s="222">
        <f>'Client Load Sheet'!E35</f>
        <v>0</v>
      </c>
      <c r="E41" s="222">
        <f>'Client Load Sheet'!F35</f>
        <v>0</v>
      </c>
      <c r="F41" s="223">
        <f>VLOOKUP('IPNZ Internal'!$A41,Table55[],3,FALSE)</f>
        <v>0</v>
      </c>
      <c r="G41" s="222">
        <f t="shared" si="3"/>
        <v>0</v>
      </c>
      <c r="H41" s="231">
        <f t="shared" si="4"/>
        <v>0</v>
      </c>
      <c r="K41" s="209" t="s">
        <v>6</v>
      </c>
      <c r="L41" s="17">
        <v>20</v>
      </c>
      <c r="M41" s="17">
        <v>0</v>
      </c>
      <c r="N41" s="17"/>
      <c r="O41" s="17"/>
      <c r="P41" s="17"/>
      <c r="Q41" s="5" t="s">
        <v>35</v>
      </c>
      <c r="R41" s="17">
        <v>1200</v>
      </c>
      <c r="S41" s="17">
        <v>0</v>
      </c>
      <c r="X41" s="35"/>
      <c r="Y41" s="35"/>
    </row>
    <row r="42" spans="1:25" s="35" customFormat="1" x14ac:dyDescent="0.35">
      <c r="A42" s="236" t="s">
        <v>21</v>
      </c>
      <c r="B42" s="222">
        <f>IF('Client Load Sheet'!C36&gt;0,'Client Load Sheet'!C36,VLOOKUP(A42,Table55[],2,FALSE))</f>
        <v>220</v>
      </c>
      <c r="C42" s="222">
        <f>'Client Load Sheet'!B36</f>
        <v>0</v>
      </c>
      <c r="D42" s="222">
        <f>'Client Load Sheet'!E36</f>
        <v>0</v>
      </c>
      <c r="E42" s="222">
        <f>'Client Load Sheet'!F36</f>
        <v>0</v>
      </c>
      <c r="F42" s="223">
        <f>VLOOKUP('IPNZ Internal'!$A42,Table55[],3,FALSE)</f>
        <v>0</v>
      </c>
      <c r="G42" s="222">
        <f t="shared" si="3"/>
        <v>0</v>
      </c>
      <c r="H42" s="231">
        <f t="shared" si="4"/>
        <v>0</v>
      </c>
      <c r="K42" s="209" t="s">
        <v>7</v>
      </c>
      <c r="L42" s="17">
        <v>18</v>
      </c>
      <c r="M42" s="17">
        <v>0</v>
      </c>
      <c r="N42" s="17"/>
      <c r="O42" s="17"/>
      <c r="P42" s="17"/>
      <c r="Q42" s="5" t="s">
        <v>9</v>
      </c>
      <c r="R42" s="17"/>
      <c r="S42" s="17"/>
      <c r="T42" s="33"/>
      <c r="U42" s="33"/>
      <c r="V42" s="33"/>
      <c r="X42" s="33"/>
      <c r="Y42" s="33"/>
    </row>
    <row r="43" spans="1:25" ht="16.5" customHeight="1" x14ac:dyDescent="0.35">
      <c r="A43" s="236" t="s">
        <v>22</v>
      </c>
      <c r="B43" s="222">
        <f>IF('Client Load Sheet'!C37&gt;0,'Client Load Sheet'!C37,VLOOKUP(A43,Table55[],2,FALSE))</f>
        <v>300</v>
      </c>
      <c r="C43" s="222">
        <f>'Client Load Sheet'!B37</f>
        <v>0</v>
      </c>
      <c r="D43" s="222">
        <f>'Client Load Sheet'!E37</f>
        <v>0</v>
      </c>
      <c r="E43" s="222">
        <f>'Client Load Sheet'!F37</f>
        <v>0</v>
      </c>
      <c r="F43" s="223">
        <f>VLOOKUP('IPNZ Internal'!$A43,Table55[],3,FALSE)</f>
        <v>0</v>
      </c>
      <c r="G43" s="222">
        <f t="shared" si="3"/>
        <v>0</v>
      </c>
      <c r="H43" s="231">
        <f t="shared" si="4"/>
        <v>0</v>
      </c>
      <c r="K43" s="209" t="s">
        <v>8</v>
      </c>
      <c r="L43" s="17">
        <v>8</v>
      </c>
      <c r="M43" s="17">
        <v>0</v>
      </c>
      <c r="N43" s="17"/>
      <c r="O43" s="17"/>
      <c r="P43" s="17"/>
      <c r="Q43" s="17"/>
      <c r="R43" s="17"/>
      <c r="S43" s="17"/>
    </row>
    <row r="44" spans="1:25" x14ac:dyDescent="0.35">
      <c r="A44" s="236" t="s">
        <v>23</v>
      </c>
      <c r="B44" s="222">
        <f>IF('Client Load Sheet'!C38&gt;0,'Client Load Sheet'!C38,VLOOKUP(A44,Table55[],2,FALSE))</f>
        <v>320</v>
      </c>
      <c r="C44" s="222">
        <f>'Client Load Sheet'!B38</f>
        <v>0</v>
      </c>
      <c r="D44" s="222">
        <f>'Client Load Sheet'!E38</f>
        <v>0</v>
      </c>
      <c r="E44" s="222">
        <f>'Client Load Sheet'!F38</f>
        <v>0</v>
      </c>
      <c r="F44" s="223">
        <f>VLOOKUP('IPNZ Internal'!$A44,Table55[],3,FALSE)</f>
        <v>0</v>
      </c>
      <c r="G44" s="222">
        <f t="shared" si="3"/>
        <v>0</v>
      </c>
      <c r="H44" s="231">
        <f t="shared" si="4"/>
        <v>0</v>
      </c>
      <c r="K44" s="210" t="s">
        <v>9</v>
      </c>
      <c r="L44" s="17"/>
      <c r="M44" s="17"/>
      <c r="N44" s="17"/>
      <c r="O44" s="17"/>
      <c r="P44" s="17"/>
      <c r="Q44" s="17"/>
      <c r="R44" s="17"/>
      <c r="S44" s="17"/>
    </row>
    <row r="45" spans="1:25" ht="15.5" x14ac:dyDescent="0.35">
      <c r="A45" s="236" t="s">
        <v>9</v>
      </c>
      <c r="B45" s="222">
        <f>IF('Client Load Sheet'!C39&gt;0,'Client Load Sheet'!C39,VLOOKUP(A45,Table55[],2,FALSE))</f>
        <v>0</v>
      </c>
      <c r="C45" s="222">
        <f>'Client Load Sheet'!B39</f>
        <v>0</v>
      </c>
      <c r="D45" s="222">
        <f>'Client Load Sheet'!E39</f>
        <v>0</v>
      </c>
      <c r="E45" s="222">
        <f>'Client Load Sheet'!F39</f>
        <v>0</v>
      </c>
      <c r="F45" s="223">
        <f>VLOOKUP('IPNZ Internal'!$A45,Table55[],3,FALSE)</f>
        <v>0</v>
      </c>
      <c r="G45" s="222">
        <f t="shared" si="3"/>
        <v>0</v>
      </c>
      <c r="H45" s="231">
        <f t="shared" si="4"/>
        <v>0</v>
      </c>
      <c r="K45" s="42" t="s">
        <v>156</v>
      </c>
      <c r="L45" s="43" t="s">
        <v>85</v>
      </c>
      <c r="M45" s="43" t="s">
        <v>87</v>
      </c>
      <c r="N45" s="44" t="s">
        <v>188</v>
      </c>
      <c r="O45" s="44" t="s">
        <v>94</v>
      </c>
      <c r="P45" s="44" t="s">
        <v>97</v>
      </c>
      <c r="Q45" s="17"/>
      <c r="R45" s="17"/>
      <c r="S45" s="17"/>
    </row>
    <row r="46" spans="1:25" ht="15.5" x14ac:dyDescent="0.35">
      <c r="A46" s="236" t="s">
        <v>9</v>
      </c>
      <c r="B46" s="222">
        <f>IF('Client Load Sheet'!C40&gt;0,'Client Load Sheet'!C40,VLOOKUP(A46,Table55[],2,FALSE))</f>
        <v>0</v>
      </c>
      <c r="C46" s="222">
        <f>'Client Load Sheet'!B40</f>
        <v>0</v>
      </c>
      <c r="D46" s="222">
        <f>'Client Load Sheet'!E40</f>
        <v>0</v>
      </c>
      <c r="E46" s="222">
        <f>'Client Load Sheet'!F40</f>
        <v>0</v>
      </c>
      <c r="F46" s="223">
        <f>VLOOKUP('IPNZ Internal'!$A46,Table55[],3,FALSE)</f>
        <v>0</v>
      </c>
      <c r="G46" s="222">
        <f t="shared" si="3"/>
        <v>0</v>
      </c>
      <c r="H46" s="231">
        <f t="shared" si="4"/>
        <v>0</v>
      </c>
      <c r="K46" s="4" t="s">
        <v>157</v>
      </c>
      <c r="L46" s="17">
        <v>4</v>
      </c>
      <c r="M46" s="17">
        <v>0</v>
      </c>
      <c r="N46" s="45" t="s">
        <v>71</v>
      </c>
      <c r="O46" s="45"/>
      <c r="P46" s="45"/>
      <c r="Q46" s="46" t="s">
        <v>187</v>
      </c>
      <c r="R46" s="47" t="s">
        <v>85</v>
      </c>
      <c r="S46" s="47" t="s">
        <v>87</v>
      </c>
    </row>
    <row r="47" spans="1:25" ht="15" thickBot="1" x14ac:dyDescent="0.4">
      <c r="A47" s="236" t="s">
        <v>9</v>
      </c>
      <c r="B47" s="222">
        <f>IF('Client Load Sheet'!C41&gt;0,'Client Load Sheet'!C41,VLOOKUP(A47,Table55[],2,FALSE))</f>
        <v>0</v>
      </c>
      <c r="C47" s="222">
        <f>'Client Load Sheet'!B41</f>
        <v>0</v>
      </c>
      <c r="D47" s="222">
        <f>'Client Load Sheet'!E41</f>
        <v>0</v>
      </c>
      <c r="E47" s="222">
        <f>'Client Load Sheet'!F41</f>
        <v>0</v>
      </c>
      <c r="F47" s="223">
        <f>VLOOKUP('IPNZ Internal'!$A47,Table55[],3,FALSE)</f>
        <v>0</v>
      </c>
      <c r="G47" s="222">
        <f t="shared" si="3"/>
        <v>0</v>
      </c>
      <c r="H47" s="231">
        <f t="shared" si="4"/>
        <v>0</v>
      </c>
      <c r="K47" s="5" t="s">
        <v>55</v>
      </c>
      <c r="L47" s="17">
        <v>5</v>
      </c>
      <c r="M47" s="17"/>
      <c r="N47" s="33" t="s">
        <v>98</v>
      </c>
      <c r="O47" s="33">
        <v>200</v>
      </c>
      <c r="P47" s="33" t="s">
        <v>99</v>
      </c>
      <c r="Q47" s="9" t="s">
        <v>65</v>
      </c>
      <c r="R47" s="17">
        <v>2000</v>
      </c>
      <c r="S47" s="17">
        <v>3000</v>
      </c>
    </row>
    <row r="48" spans="1:25" ht="15" thickBot="1" x14ac:dyDescent="0.4">
      <c r="A48" s="143"/>
      <c r="B48" s="212"/>
      <c r="C48" s="212"/>
      <c r="D48" s="212"/>
      <c r="E48" s="212"/>
      <c r="F48" s="212"/>
      <c r="G48" s="213" t="s">
        <v>91</v>
      </c>
      <c r="H48" s="214">
        <f>SUM(H26:H47)</f>
        <v>0</v>
      </c>
      <c r="K48" s="5" t="s">
        <v>158</v>
      </c>
      <c r="L48" s="17">
        <v>2</v>
      </c>
      <c r="M48" s="17">
        <v>0</v>
      </c>
      <c r="N48" s="33" t="s">
        <v>96</v>
      </c>
      <c r="O48" s="33">
        <v>250</v>
      </c>
      <c r="P48" s="33" t="s">
        <v>100</v>
      </c>
      <c r="Q48" s="7" t="s">
        <v>66</v>
      </c>
      <c r="R48" s="17">
        <v>4000</v>
      </c>
      <c r="S48" s="17">
        <v>4950</v>
      </c>
      <c r="X48" s="35"/>
      <c r="Y48" s="35"/>
    </row>
    <row r="49" spans="1:25" s="35" customFormat="1" ht="15" thickBot="1" x14ac:dyDescent="0.4">
      <c r="A49" s="77" t="s">
        <v>193</v>
      </c>
      <c r="B49" s="196" t="s">
        <v>85</v>
      </c>
      <c r="C49" s="196" t="s">
        <v>0</v>
      </c>
      <c r="D49" s="196" t="s">
        <v>86</v>
      </c>
      <c r="E49" s="196" t="s">
        <v>1</v>
      </c>
      <c r="F49" s="196" t="s">
        <v>87</v>
      </c>
      <c r="G49" s="196" t="s">
        <v>88</v>
      </c>
      <c r="H49" s="197" t="s">
        <v>89</v>
      </c>
      <c r="K49" s="5" t="s">
        <v>159</v>
      </c>
      <c r="L49" s="17">
        <v>100</v>
      </c>
      <c r="M49" s="17">
        <v>0</v>
      </c>
      <c r="N49" s="33" t="s">
        <v>95</v>
      </c>
      <c r="O49" s="33">
        <v>320</v>
      </c>
      <c r="P49" s="33" t="s">
        <v>101</v>
      </c>
      <c r="Q49" s="7" t="s">
        <v>67</v>
      </c>
      <c r="R49" s="17">
        <v>15</v>
      </c>
      <c r="S49" s="17">
        <v>0</v>
      </c>
      <c r="T49" s="33"/>
      <c r="U49" s="33"/>
      <c r="V49" s="33"/>
      <c r="X49" s="33"/>
      <c r="Y49" s="33"/>
    </row>
    <row r="50" spans="1:25" x14ac:dyDescent="0.35">
      <c r="A50" s="192" t="s">
        <v>244</v>
      </c>
      <c r="B50" s="119">
        <f>'Client Load Sheet'!C43</f>
        <v>0</v>
      </c>
      <c r="C50" s="119">
        <f>'Client Load Sheet'!B43</f>
        <v>0</v>
      </c>
      <c r="D50" s="119">
        <f>'Client Load Sheet'!E43</f>
        <v>0</v>
      </c>
      <c r="E50" s="119">
        <f>'Client Load Sheet'!F43</f>
        <v>0</v>
      </c>
      <c r="F50" s="119">
        <f>VLOOKUP(Table30[[#This Row],[MEDICAL EQUIPMENT]],K67:M73,3,FALSE)</f>
        <v>0</v>
      </c>
      <c r="G50" s="102">
        <f t="shared" ref="G50:G56" si="5">B50*C50*D50*E50</f>
        <v>0</v>
      </c>
      <c r="H50" s="102">
        <f t="shared" ref="H50:H56" si="6">ROUNDUP(G50/7,0)</f>
        <v>0</v>
      </c>
      <c r="K50" s="5" t="s">
        <v>160</v>
      </c>
      <c r="L50" s="17">
        <v>15</v>
      </c>
      <c r="M50" s="17">
        <v>0</v>
      </c>
      <c r="N50" s="45" t="s">
        <v>72</v>
      </c>
      <c r="O50" s="45"/>
      <c r="P50" s="45"/>
      <c r="Q50" s="7" t="s">
        <v>175</v>
      </c>
      <c r="R50" s="17">
        <v>2000</v>
      </c>
      <c r="S50" s="17">
        <v>0</v>
      </c>
    </row>
    <row r="51" spans="1:25" x14ac:dyDescent="0.35">
      <c r="A51" s="193" t="s">
        <v>242</v>
      </c>
      <c r="B51" s="119">
        <f>'Client Load Sheet'!C44</f>
        <v>0</v>
      </c>
      <c r="C51" s="119">
        <f>'Client Load Sheet'!B44</f>
        <v>0</v>
      </c>
      <c r="D51" s="119">
        <f>'Client Load Sheet'!E44</f>
        <v>0</v>
      </c>
      <c r="E51" s="119">
        <f>'Client Load Sheet'!F44</f>
        <v>0</v>
      </c>
      <c r="F51" s="119"/>
      <c r="G51" s="119">
        <f t="shared" si="5"/>
        <v>0</v>
      </c>
      <c r="H51" s="119">
        <f t="shared" si="6"/>
        <v>0</v>
      </c>
      <c r="K51" s="5" t="s">
        <v>161</v>
      </c>
      <c r="L51" s="17">
        <v>13</v>
      </c>
      <c r="M51" s="17">
        <v>0</v>
      </c>
      <c r="N51" s="33" t="s">
        <v>98</v>
      </c>
      <c r="O51" s="33">
        <v>200</v>
      </c>
      <c r="P51" s="33" t="s">
        <v>99</v>
      </c>
      <c r="Q51" s="7" t="s">
        <v>176</v>
      </c>
      <c r="R51" s="17">
        <v>1000</v>
      </c>
      <c r="S51" s="17">
        <v>0</v>
      </c>
    </row>
    <row r="52" spans="1:25" x14ac:dyDescent="0.35">
      <c r="A52" s="193" t="s">
        <v>243</v>
      </c>
      <c r="B52" s="119">
        <f>'Client Load Sheet'!C45</f>
        <v>0</v>
      </c>
      <c r="C52" s="119">
        <f>'Client Load Sheet'!B45</f>
        <v>0</v>
      </c>
      <c r="D52" s="119">
        <f>'Client Load Sheet'!E45</f>
        <v>0</v>
      </c>
      <c r="E52" s="119">
        <f>'Client Load Sheet'!F45</f>
        <v>0</v>
      </c>
      <c r="F52" s="119"/>
      <c r="G52" s="119">
        <f t="shared" si="5"/>
        <v>0</v>
      </c>
      <c r="H52" s="119">
        <f t="shared" si="6"/>
        <v>0</v>
      </c>
      <c r="K52" s="5" t="s">
        <v>162</v>
      </c>
      <c r="L52" s="17">
        <v>800</v>
      </c>
      <c r="M52" s="17">
        <v>0</v>
      </c>
      <c r="N52" s="33" t="s">
        <v>96</v>
      </c>
      <c r="O52" s="33">
        <v>250</v>
      </c>
      <c r="P52" s="33" t="s">
        <v>99</v>
      </c>
      <c r="Q52" s="11" t="s">
        <v>177</v>
      </c>
      <c r="R52" s="17">
        <v>700</v>
      </c>
      <c r="S52" s="17">
        <v>0</v>
      </c>
      <c r="X52" s="35"/>
      <c r="Y52" s="35"/>
    </row>
    <row r="53" spans="1:25" s="35" customFormat="1" x14ac:dyDescent="0.35">
      <c r="A53" s="193" t="s">
        <v>245</v>
      </c>
      <c r="B53" s="119">
        <f>'Client Load Sheet'!C46</f>
        <v>0</v>
      </c>
      <c r="C53" s="119">
        <f>'Client Load Sheet'!B46</f>
        <v>0</v>
      </c>
      <c r="D53" s="119">
        <f>'Client Load Sheet'!E46</f>
        <v>0</v>
      </c>
      <c r="E53" s="119">
        <f>'Client Load Sheet'!F46</f>
        <v>0</v>
      </c>
      <c r="F53" s="119"/>
      <c r="G53" s="119">
        <f t="shared" si="5"/>
        <v>0</v>
      </c>
      <c r="H53" s="119">
        <f t="shared" si="6"/>
        <v>0</v>
      </c>
      <c r="K53" s="5" t="s">
        <v>163</v>
      </c>
      <c r="L53" s="17">
        <v>500</v>
      </c>
      <c r="M53" s="17">
        <v>2000</v>
      </c>
      <c r="N53" s="33" t="s">
        <v>95</v>
      </c>
      <c r="O53" s="33">
        <v>350</v>
      </c>
      <c r="P53" s="33" t="s">
        <v>102</v>
      </c>
      <c r="Q53" s="11" t="s">
        <v>178</v>
      </c>
      <c r="R53" s="17">
        <v>320</v>
      </c>
      <c r="S53" s="17">
        <v>0</v>
      </c>
      <c r="T53" s="33"/>
      <c r="U53" s="33"/>
      <c r="V53" s="33"/>
      <c r="X53" s="33"/>
      <c r="Y53" s="33"/>
    </row>
    <row r="54" spans="1:25" x14ac:dyDescent="0.35">
      <c r="A54" s="193" t="s">
        <v>240</v>
      </c>
      <c r="B54" s="119">
        <f>'Client Load Sheet'!C47</f>
        <v>0</v>
      </c>
      <c r="C54" s="119">
        <f>'Client Load Sheet'!B47</f>
        <v>0</v>
      </c>
      <c r="D54" s="119">
        <f>'Client Load Sheet'!E47</f>
        <v>0</v>
      </c>
      <c r="E54" s="119">
        <f>'Client Load Sheet'!F47</f>
        <v>0</v>
      </c>
      <c r="F54" s="119"/>
      <c r="G54" s="119">
        <f t="shared" si="5"/>
        <v>0</v>
      </c>
      <c r="H54" s="119">
        <f t="shared" si="6"/>
        <v>0</v>
      </c>
      <c r="K54" s="5" t="s">
        <v>164</v>
      </c>
      <c r="L54" s="17">
        <v>800</v>
      </c>
      <c r="M54" s="17">
        <v>2000</v>
      </c>
      <c r="N54" s="45" t="s">
        <v>73</v>
      </c>
      <c r="O54" s="45"/>
      <c r="P54" s="45"/>
      <c r="Q54" s="11" t="s">
        <v>179</v>
      </c>
      <c r="R54" s="17">
        <v>160</v>
      </c>
      <c r="S54" s="17">
        <v>0</v>
      </c>
    </row>
    <row r="55" spans="1:25" x14ac:dyDescent="0.35">
      <c r="A55" s="194" t="s">
        <v>241</v>
      </c>
      <c r="B55" s="119">
        <f>'Client Load Sheet'!C48</f>
        <v>0</v>
      </c>
      <c r="C55" s="119">
        <f>'Client Load Sheet'!B48</f>
        <v>0</v>
      </c>
      <c r="D55" s="119">
        <f>'Client Load Sheet'!E48</f>
        <v>0</v>
      </c>
      <c r="E55" s="119">
        <f>'Client Load Sheet'!F48</f>
        <v>0</v>
      </c>
      <c r="F55" s="119"/>
      <c r="G55" s="119">
        <f t="shared" si="5"/>
        <v>0</v>
      </c>
      <c r="H55" s="119">
        <f t="shared" si="6"/>
        <v>0</v>
      </c>
      <c r="K55" s="5" t="s">
        <v>56</v>
      </c>
      <c r="L55" s="17">
        <v>1600</v>
      </c>
      <c r="M55" s="17">
        <v>0</v>
      </c>
      <c r="N55" s="33" t="s">
        <v>98</v>
      </c>
      <c r="O55" s="33">
        <v>280</v>
      </c>
      <c r="Q55" s="11" t="s">
        <v>180</v>
      </c>
      <c r="R55" s="17">
        <v>800</v>
      </c>
      <c r="S55" s="17"/>
      <c r="X55" s="33" t="s">
        <v>103</v>
      </c>
    </row>
    <row r="56" spans="1:25" ht="15" thickBot="1" x14ac:dyDescent="0.4">
      <c r="A56" s="195" t="s">
        <v>9</v>
      </c>
      <c r="B56" s="119">
        <f>'Client Load Sheet'!C49</f>
        <v>0</v>
      </c>
      <c r="C56" s="119">
        <f>'Client Load Sheet'!B49</f>
        <v>0</v>
      </c>
      <c r="D56" s="119">
        <f>'Client Load Sheet'!E49</f>
        <v>0</v>
      </c>
      <c r="E56" s="119">
        <f>'Client Load Sheet'!F49</f>
        <v>0</v>
      </c>
      <c r="F56" s="119"/>
      <c r="G56" s="119">
        <f t="shared" si="5"/>
        <v>0</v>
      </c>
      <c r="H56" s="119">
        <f t="shared" si="6"/>
        <v>0</v>
      </c>
      <c r="K56" s="5" t="s">
        <v>165</v>
      </c>
      <c r="L56" s="17">
        <v>100</v>
      </c>
      <c r="M56" s="17">
        <v>0</v>
      </c>
      <c r="N56" s="33" t="s">
        <v>96</v>
      </c>
      <c r="O56" s="33">
        <v>310</v>
      </c>
      <c r="Q56" s="11" t="s">
        <v>181</v>
      </c>
      <c r="R56" s="17">
        <v>150</v>
      </c>
      <c r="S56" s="17"/>
    </row>
    <row r="57" spans="1:25" ht="15" thickBot="1" x14ac:dyDescent="0.4">
      <c r="A57" s="132"/>
      <c r="B57" s="133"/>
      <c r="C57" s="133"/>
      <c r="D57" s="133"/>
      <c r="E57" s="133"/>
      <c r="F57" s="133"/>
      <c r="G57" s="134" t="s">
        <v>91</v>
      </c>
      <c r="H57" s="216">
        <f>SUM(Table30[Daily Total])</f>
        <v>0</v>
      </c>
      <c r="K57" s="5" t="s">
        <v>166</v>
      </c>
      <c r="L57" s="17">
        <v>2400</v>
      </c>
      <c r="M57" s="17">
        <v>0</v>
      </c>
      <c r="N57" s="33" t="s">
        <v>95</v>
      </c>
      <c r="O57" s="33">
        <v>400</v>
      </c>
      <c r="Q57" s="7" t="s">
        <v>182</v>
      </c>
      <c r="R57" s="17">
        <v>75</v>
      </c>
      <c r="S57" s="17">
        <v>0</v>
      </c>
      <c r="X57" s="35"/>
      <c r="Y57" s="35"/>
    </row>
    <row r="58" spans="1:25" s="35" customFormat="1" ht="15" thickBot="1" x14ac:dyDescent="0.4">
      <c r="A58" s="144" t="s">
        <v>154</v>
      </c>
      <c r="B58" s="145" t="s">
        <v>85</v>
      </c>
      <c r="C58" s="145" t="s">
        <v>0</v>
      </c>
      <c r="D58" s="145" t="s">
        <v>86</v>
      </c>
      <c r="E58" s="145" t="s">
        <v>1</v>
      </c>
      <c r="F58" s="145" t="s">
        <v>87</v>
      </c>
      <c r="G58" s="145" t="s">
        <v>88</v>
      </c>
      <c r="H58" s="146" t="s">
        <v>89</v>
      </c>
      <c r="K58" s="5" t="s">
        <v>167</v>
      </c>
      <c r="L58" s="17">
        <v>1200</v>
      </c>
      <c r="M58" s="17">
        <v>0</v>
      </c>
      <c r="N58" s="101" t="s">
        <v>189</v>
      </c>
      <c r="O58" s="101"/>
      <c r="P58" s="101"/>
      <c r="Q58" s="7" t="s">
        <v>68</v>
      </c>
      <c r="R58" s="17">
        <v>60</v>
      </c>
      <c r="S58" s="17">
        <v>0</v>
      </c>
      <c r="T58" s="33"/>
      <c r="U58" s="33"/>
      <c r="V58" s="33"/>
      <c r="X58" s="33"/>
      <c r="Y58" s="33"/>
    </row>
    <row r="59" spans="1:25" x14ac:dyDescent="0.35">
      <c r="A59" s="72" t="s">
        <v>24</v>
      </c>
      <c r="B59" s="151">
        <f>IF('Client Load Sheet'!C52&gt;0,'Client Load Sheet'!C52,VLOOKUP(A59,Table1018[],2,FALSE))</f>
        <v>2000</v>
      </c>
      <c r="C59" s="135">
        <f>'Client Load Sheet'!B52</f>
        <v>0</v>
      </c>
      <c r="D59" s="135">
        <f>'Client Load Sheet'!E52</f>
        <v>0</v>
      </c>
      <c r="E59" s="135">
        <f>'Client Load Sheet'!F52</f>
        <v>0</v>
      </c>
      <c r="F59" s="135" t="str">
        <f>VLOOKUP(Table27[[#This Row],[COOKING]],Table1018[],3,FALSE)</f>
        <v>???</v>
      </c>
      <c r="G59" s="135">
        <f t="shared" ref="G59:G90" si="7">B59*C59*D59*E59</f>
        <v>0</v>
      </c>
      <c r="H59" s="135">
        <f t="shared" ref="H59:H90" si="8">ROUNDUP(G59/7,0)</f>
        <v>0</v>
      </c>
      <c r="K59" s="5" t="s">
        <v>57</v>
      </c>
      <c r="L59" s="17">
        <v>150</v>
      </c>
      <c r="M59" s="17">
        <v>0</v>
      </c>
      <c r="N59" s="33" t="s">
        <v>98</v>
      </c>
      <c r="O59" s="33">
        <v>200</v>
      </c>
      <c r="P59" s="101"/>
      <c r="Q59" s="7" t="s">
        <v>183</v>
      </c>
      <c r="R59" s="17">
        <v>50</v>
      </c>
      <c r="S59" s="17">
        <v>0</v>
      </c>
    </row>
    <row r="60" spans="1:25" x14ac:dyDescent="0.35">
      <c r="A60" s="5" t="s">
        <v>25</v>
      </c>
      <c r="B60" s="151">
        <f>IF('Client Load Sheet'!C53&gt;0,'Client Load Sheet'!C53,VLOOKUP(A60,Table1018[],2,FALSE))</f>
        <v>500</v>
      </c>
      <c r="C60" s="135">
        <f>'Client Load Sheet'!B53</f>
        <v>0</v>
      </c>
      <c r="D60" s="135">
        <f>'Client Load Sheet'!E53</f>
        <v>0</v>
      </c>
      <c r="E60" s="135">
        <f>'Client Load Sheet'!F53</f>
        <v>0</v>
      </c>
      <c r="F60" s="13">
        <f>VLOOKUP(Table27[[#This Row],[COOKING]],Table1018[],3,FALSE)</f>
        <v>0</v>
      </c>
      <c r="G60" s="13">
        <f t="shared" si="7"/>
        <v>0</v>
      </c>
      <c r="H60" s="13">
        <f t="shared" si="8"/>
        <v>0</v>
      </c>
      <c r="K60" s="5" t="s">
        <v>168</v>
      </c>
      <c r="L60" s="17">
        <v>120</v>
      </c>
      <c r="M60" s="17">
        <v>0</v>
      </c>
      <c r="N60" s="33" t="s">
        <v>96</v>
      </c>
      <c r="O60" s="33">
        <v>250</v>
      </c>
      <c r="P60" s="101"/>
      <c r="Q60" s="7" t="s">
        <v>184</v>
      </c>
      <c r="R60" s="17">
        <v>25</v>
      </c>
      <c r="S60" s="17">
        <v>0</v>
      </c>
    </row>
    <row r="61" spans="1:25" x14ac:dyDescent="0.35">
      <c r="A61" s="5" t="s">
        <v>26</v>
      </c>
      <c r="B61" s="151">
        <f>IF('Client Load Sheet'!C54&gt;0,'Client Load Sheet'!C54,VLOOKUP(A61,Table1018[],2,FALSE))</f>
        <v>500</v>
      </c>
      <c r="C61" s="135">
        <f>'Client Load Sheet'!B54</f>
        <v>0</v>
      </c>
      <c r="D61" s="135">
        <f>'Client Load Sheet'!E54</f>
        <v>0</v>
      </c>
      <c r="E61" s="135">
        <f>'Client Load Sheet'!F54</f>
        <v>0</v>
      </c>
      <c r="F61" s="13">
        <f>VLOOKUP(Table27[[#This Row],[COOKING]],Table1018[],3,FALSE)</f>
        <v>2300</v>
      </c>
      <c r="G61" s="13">
        <f t="shared" si="7"/>
        <v>0</v>
      </c>
      <c r="H61" s="13">
        <f t="shared" si="8"/>
        <v>0</v>
      </c>
      <c r="K61" s="5" t="s">
        <v>58</v>
      </c>
      <c r="L61" s="17">
        <v>800</v>
      </c>
      <c r="M61" s="17">
        <v>2000</v>
      </c>
      <c r="N61" s="33" t="s">
        <v>95</v>
      </c>
      <c r="O61" s="33">
        <v>350</v>
      </c>
      <c r="P61" s="101"/>
      <c r="Q61" s="7" t="s">
        <v>185</v>
      </c>
      <c r="R61" s="17">
        <v>2400</v>
      </c>
      <c r="S61" s="17">
        <v>0</v>
      </c>
    </row>
    <row r="62" spans="1:25" x14ac:dyDescent="0.35">
      <c r="A62" s="5" t="s">
        <v>119</v>
      </c>
      <c r="B62" s="151">
        <f>IF('Client Load Sheet'!C55&gt;0,'Client Load Sheet'!C55,VLOOKUP(A62,Table1018[],2,FALSE))</f>
        <v>1500</v>
      </c>
      <c r="C62" s="135">
        <f>'Client Load Sheet'!B55</f>
        <v>0</v>
      </c>
      <c r="D62" s="135">
        <f>'Client Load Sheet'!E55</f>
        <v>0</v>
      </c>
      <c r="E62" s="135">
        <f>'Client Load Sheet'!F55</f>
        <v>0</v>
      </c>
      <c r="F62" s="13" t="str">
        <f>VLOOKUP(Table27[[#This Row],[COOKING]],Table1018[],3,FALSE)</f>
        <v>???</v>
      </c>
      <c r="G62" s="13">
        <f t="shared" si="7"/>
        <v>0</v>
      </c>
      <c r="H62" s="13">
        <f t="shared" si="8"/>
        <v>0</v>
      </c>
      <c r="K62" s="5" t="s">
        <v>169</v>
      </c>
      <c r="L62" s="17">
        <v>2000</v>
      </c>
      <c r="M62" s="17">
        <v>3500</v>
      </c>
      <c r="N62" s="101" t="s">
        <v>190</v>
      </c>
      <c r="O62" s="101"/>
      <c r="P62" s="101"/>
      <c r="Q62" s="7" t="s">
        <v>186</v>
      </c>
      <c r="R62" s="17">
        <v>1200</v>
      </c>
      <c r="S62" s="17">
        <v>0</v>
      </c>
    </row>
    <row r="63" spans="1:25" x14ac:dyDescent="0.35">
      <c r="A63" s="5" t="s">
        <v>120</v>
      </c>
      <c r="B63" s="151">
        <f>IF('Client Load Sheet'!C56&gt;0,'Client Load Sheet'!C56,VLOOKUP(A63,Table1018[],2,FALSE))</f>
        <v>600</v>
      </c>
      <c r="C63" s="135">
        <f>'Client Load Sheet'!B56</f>
        <v>0</v>
      </c>
      <c r="D63" s="135">
        <f>'Client Load Sheet'!E56</f>
        <v>0</v>
      </c>
      <c r="E63" s="135">
        <f>'Client Load Sheet'!F56</f>
        <v>0</v>
      </c>
      <c r="F63" s="13">
        <f>VLOOKUP(Table27[[#This Row],[COOKING]],Table1018[],3,FALSE)</f>
        <v>0</v>
      </c>
      <c r="G63" s="13">
        <f t="shared" si="7"/>
        <v>0</v>
      </c>
      <c r="H63" s="13">
        <f t="shared" si="8"/>
        <v>0</v>
      </c>
      <c r="K63" s="5" t="s">
        <v>9</v>
      </c>
      <c r="L63" s="17"/>
      <c r="M63" s="17"/>
      <c r="N63" s="33" t="s">
        <v>191</v>
      </c>
      <c r="O63" s="101">
        <v>0</v>
      </c>
      <c r="P63" s="101" t="s">
        <v>93</v>
      </c>
      <c r="Q63" s="7" t="s">
        <v>69</v>
      </c>
      <c r="R63" s="17">
        <v>800</v>
      </c>
      <c r="S63" s="17">
        <v>0</v>
      </c>
    </row>
    <row r="64" spans="1:25" x14ac:dyDescent="0.35">
      <c r="A64" s="5" t="s">
        <v>121</v>
      </c>
      <c r="B64" s="151">
        <f>IF('Client Load Sheet'!C57&gt;0,'Client Load Sheet'!C57,VLOOKUP(A64,Table1018[],2,FALSE))</f>
        <v>1000</v>
      </c>
      <c r="C64" s="135">
        <f>'Client Load Sheet'!B57</f>
        <v>0</v>
      </c>
      <c r="D64" s="135">
        <f>'Client Load Sheet'!E57</f>
        <v>0</v>
      </c>
      <c r="E64" s="135">
        <f>'Client Load Sheet'!F57</f>
        <v>0</v>
      </c>
      <c r="F64" s="14">
        <f>VLOOKUP(Table27[[#This Row],[COOKING]],Table1018[],3,FALSE)</f>
        <v>0</v>
      </c>
      <c r="G64" s="13">
        <f t="shared" si="7"/>
        <v>0</v>
      </c>
      <c r="H64" s="13">
        <f t="shared" si="8"/>
        <v>0</v>
      </c>
      <c r="K64" s="17"/>
      <c r="L64" s="17"/>
      <c r="M64" s="17"/>
      <c r="N64" s="33" t="s">
        <v>192</v>
      </c>
      <c r="O64" s="101">
        <v>0</v>
      </c>
      <c r="P64" s="101" t="s">
        <v>92</v>
      </c>
      <c r="Q64" s="7" t="s">
        <v>70</v>
      </c>
      <c r="R64" s="17">
        <v>3000</v>
      </c>
      <c r="S64" s="17">
        <v>0</v>
      </c>
    </row>
    <row r="65" spans="1:19" ht="15" thickBot="1" x14ac:dyDescent="0.4">
      <c r="A65" s="5" t="s">
        <v>122</v>
      </c>
      <c r="B65" s="151">
        <f>IF('Client Load Sheet'!C58&gt;0,'Client Load Sheet'!C58,VLOOKUP(A65,Table1018[],2,FALSE))</f>
        <v>1800</v>
      </c>
      <c r="C65" s="135">
        <f>'Client Load Sheet'!B58</f>
        <v>0</v>
      </c>
      <c r="D65" s="135">
        <f>'Client Load Sheet'!E58</f>
        <v>0</v>
      </c>
      <c r="E65" s="135">
        <f>'Client Load Sheet'!F58</f>
        <v>0</v>
      </c>
      <c r="F65" s="14">
        <f>VLOOKUP(Table27[[#This Row],[COOKING]],Table1018[],3,FALSE)</f>
        <v>0</v>
      </c>
      <c r="G65" s="13">
        <f t="shared" si="7"/>
        <v>0</v>
      </c>
      <c r="H65" s="13">
        <f t="shared" si="8"/>
        <v>0</v>
      </c>
      <c r="K65" s="17"/>
      <c r="L65" s="17"/>
      <c r="M65" s="17"/>
      <c r="N65" s="215" t="s">
        <v>239</v>
      </c>
      <c r="O65" s="215" t="s">
        <v>85</v>
      </c>
      <c r="P65" s="215" t="s">
        <v>87</v>
      </c>
      <c r="Q65" s="10" t="s">
        <v>9</v>
      </c>
      <c r="R65" s="17"/>
      <c r="S65" s="17"/>
    </row>
    <row r="66" spans="1:19" ht="15" thickBot="1" x14ac:dyDescent="0.4">
      <c r="A66" s="5" t="s">
        <v>27</v>
      </c>
      <c r="B66" s="151">
        <f>IF('Client Load Sheet'!C59&gt;0,'Client Load Sheet'!C59,VLOOKUP(A66,Table1018[],2,FALSE))</f>
        <v>1000</v>
      </c>
      <c r="C66" s="135">
        <f>'Client Load Sheet'!B59</f>
        <v>0</v>
      </c>
      <c r="D66" s="135">
        <f>'Client Load Sheet'!E59</f>
        <v>0</v>
      </c>
      <c r="E66" s="135">
        <f>'Client Load Sheet'!F59</f>
        <v>0</v>
      </c>
      <c r="F66" s="14" t="str">
        <f>VLOOKUP(Table27[[#This Row],[COOKING]],Table1018[],3,FALSE)</f>
        <v>??</v>
      </c>
      <c r="G66" s="13">
        <f t="shared" si="7"/>
        <v>0</v>
      </c>
      <c r="H66" s="13">
        <f t="shared" si="8"/>
        <v>0</v>
      </c>
      <c r="K66" s="198" t="s">
        <v>193</v>
      </c>
      <c r="L66" s="201" t="s">
        <v>85</v>
      </c>
      <c r="M66" s="202" t="s">
        <v>87</v>
      </c>
      <c r="N66" s="9" t="s">
        <v>59</v>
      </c>
      <c r="O66" s="33">
        <v>2500</v>
      </c>
      <c r="P66" s="33">
        <v>5000</v>
      </c>
      <c r="Q66" s="17"/>
      <c r="R66" s="17"/>
      <c r="S66" s="17"/>
    </row>
    <row r="67" spans="1:19" x14ac:dyDescent="0.35">
      <c r="A67" s="5" t="s">
        <v>172</v>
      </c>
      <c r="B67" s="151">
        <f>IF('Client Load Sheet'!C60&gt;0,'Client Load Sheet'!C60,VLOOKUP(A67,Table1018[],2,FALSE))</f>
        <v>2200</v>
      </c>
      <c r="C67" s="135">
        <f>'Client Load Sheet'!B60</f>
        <v>0</v>
      </c>
      <c r="D67" s="135">
        <f>'Client Load Sheet'!E60</f>
        <v>0</v>
      </c>
      <c r="E67" s="135">
        <f>'Client Load Sheet'!F60</f>
        <v>0</v>
      </c>
      <c r="F67" s="14">
        <f>VLOOKUP(Table27[[#This Row],[COOKING]],Table1018[],3,FALSE)</f>
        <v>0</v>
      </c>
      <c r="G67" s="13">
        <f t="shared" si="7"/>
        <v>0</v>
      </c>
      <c r="H67" s="13">
        <f t="shared" si="8"/>
        <v>0</v>
      </c>
      <c r="K67" s="192" t="s">
        <v>244</v>
      </c>
      <c r="L67" s="203"/>
      <c r="M67" s="204"/>
      <c r="N67" s="199" t="s">
        <v>60</v>
      </c>
      <c r="O67" s="33">
        <v>2000</v>
      </c>
      <c r="P67" s="33">
        <v>4000</v>
      </c>
      <c r="Q67" s="17"/>
      <c r="R67" s="17"/>
      <c r="S67" s="17"/>
    </row>
    <row r="68" spans="1:19" x14ac:dyDescent="0.35">
      <c r="A68" s="5" t="s">
        <v>171</v>
      </c>
      <c r="B68" s="151">
        <f>IF('Client Load Sheet'!C61&gt;0,'Client Load Sheet'!C61,VLOOKUP(A68,Table1018[],2,FALSE))</f>
        <v>1200</v>
      </c>
      <c r="C68" s="135">
        <f>'Client Load Sheet'!B61</f>
        <v>0</v>
      </c>
      <c r="D68" s="135">
        <f>'Client Load Sheet'!E61</f>
        <v>0</v>
      </c>
      <c r="E68" s="135">
        <f>'Client Load Sheet'!F61</f>
        <v>0</v>
      </c>
      <c r="F68" s="14">
        <f>VLOOKUP(Table27[[#This Row],[COOKING]],Table1018[],3,FALSE)</f>
        <v>0</v>
      </c>
      <c r="G68" s="13">
        <f t="shared" si="7"/>
        <v>0</v>
      </c>
      <c r="H68" s="13">
        <f t="shared" si="8"/>
        <v>0</v>
      </c>
      <c r="K68" s="193" t="s">
        <v>242</v>
      </c>
      <c r="L68" s="194"/>
      <c r="M68" s="205"/>
      <c r="N68" s="199" t="s">
        <v>61</v>
      </c>
      <c r="O68" s="33">
        <v>900</v>
      </c>
      <c r="P68" s="33">
        <v>2000</v>
      </c>
      <c r="Q68" s="17"/>
      <c r="R68" s="17"/>
      <c r="S68" s="17"/>
    </row>
    <row r="69" spans="1:19" x14ac:dyDescent="0.35">
      <c r="A69" s="5" t="s">
        <v>123</v>
      </c>
      <c r="B69" s="151">
        <f>IF('Client Load Sheet'!C62&gt;0,'Client Load Sheet'!C62,VLOOKUP(A69,Table1018[],2,FALSE))</f>
        <v>1700</v>
      </c>
      <c r="C69" s="135">
        <f>'Client Load Sheet'!B62</f>
        <v>0</v>
      </c>
      <c r="D69" s="135">
        <f>'Client Load Sheet'!E62</f>
        <v>0</v>
      </c>
      <c r="E69" s="135">
        <f>'Client Load Sheet'!F62</f>
        <v>0</v>
      </c>
      <c r="F69" s="14">
        <f>VLOOKUP(Table27[[#This Row],[COOKING]],Table1018[],3,FALSE)</f>
        <v>0</v>
      </c>
      <c r="G69" s="13">
        <f t="shared" si="7"/>
        <v>0</v>
      </c>
      <c r="H69" s="13">
        <f t="shared" si="8"/>
        <v>0</v>
      </c>
      <c r="K69" s="193" t="s">
        <v>243</v>
      </c>
      <c r="L69" s="194"/>
      <c r="M69" s="205"/>
      <c r="N69" s="199" t="s">
        <v>62</v>
      </c>
      <c r="O69" s="33">
        <v>3750</v>
      </c>
      <c r="P69" s="33">
        <v>7500</v>
      </c>
      <c r="Q69" s="17"/>
      <c r="R69" s="17"/>
      <c r="S69" s="17"/>
    </row>
    <row r="70" spans="1:19" x14ac:dyDescent="0.35">
      <c r="A70" s="5" t="s">
        <v>124</v>
      </c>
      <c r="B70" s="151">
        <f>IF('Client Load Sheet'!C63&gt;0,'Client Load Sheet'!C63,VLOOKUP(A70,Table1018[],2,FALSE))</f>
        <v>2500</v>
      </c>
      <c r="C70" s="135">
        <f>'Client Load Sheet'!B63</f>
        <v>0</v>
      </c>
      <c r="D70" s="135">
        <f>'Client Load Sheet'!E63</f>
        <v>0</v>
      </c>
      <c r="E70" s="135">
        <f>'Client Load Sheet'!F63</f>
        <v>0</v>
      </c>
      <c r="F70" s="14">
        <f>VLOOKUP(Table27[[#This Row],[COOKING]],Table1018[],3,FALSE)</f>
        <v>0</v>
      </c>
      <c r="G70" s="13">
        <f t="shared" si="7"/>
        <v>0</v>
      </c>
      <c r="H70" s="13">
        <f t="shared" si="8"/>
        <v>0</v>
      </c>
      <c r="K70" s="193" t="s">
        <v>245</v>
      </c>
      <c r="L70" s="194"/>
      <c r="M70" s="205"/>
      <c r="N70" s="199" t="s">
        <v>170</v>
      </c>
      <c r="O70" s="33">
        <v>50</v>
      </c>
      <c r="P70" s="33">
        <v>0</v>
      </c>
      <c r="Q70" s="17"/>
      <c r="R70" s="17"/>
      <c r="S70" s="17"/>
    </row>
    <row r="71" spans="1:19" x14ac:dyDescent="0.35">
      <c r="A71" s="5" t="s">
        <v>125</v>
      </c>
      <c r="B71" s="151">
        <f>IF('Client Load Sheet'!C64&gt;0,'Client Load Sheet'!C64,VLOOKUP(A71,Table1018[],2,FALSE))</f>
        <v>1400</v>
      </c>
      <c r="C71" s="135">
        <f>'Client Load Sheet'!B64</f>
        <v>0</v>
      </c>
      <c r="D71" s="135">
        <f>'Client Load Sheet'!E64</f>
        <v>0</v>
      </c>
      <c r="E71" s="135">
        <f>'Client Load Sheet'!F64</f>
        <v>0</v>
      </c>
      <c r="F71" s="14">
        <f>VLOOKUP(Table27[[#This Row],[COOKING]],Table1018[],3,FALSE)</f>
        <v>0</v>
      </c>
      <c r="G71" s="13">
        <f t="shared" si="7"/>
        <v>0</v>
      </c>
      <c r="H71" s="13">
        <f t="shared" si="8"/>
        <v>0</v>
      </c>
      <c r="K71" s="193" t="s">
        <v>240</v>
      </c>
      <c r="L71" s="194"/>
      <c r="M71" s="205"/>
      <c r="N71" s="199" t="s">
        <v>63</v>
      </c>
      <c r="O71" s="33">
        <v>100</v>
      </c>
      <c r="P71" s="33">
        <v>0</v>
      </c>
      <c r="Q71" s="17"/>
      <c r="R71" s="17"/>
      <c r="S71" s="17"/>
    </row>
    <row r="72" spans="1:19" x14ac:dyDescent="0.35">
      <c r="A72" s="5" t="s">
        <v>126</v>
      </c>
      <c r="B72" s="151">
        <f>IF('Client Load Sheet'!C65&gt;0,'Client Load Sheet'!C65,VLOOKUP(A72,Table1018[],2,FALSE))</f>
        <v>2100</v>
      </c>
      <c r="C72" s="135">
        <f>'Client Load Sheet'!B65</f>
        <v>0</v>
      </c>
      <c r="D72" s="135">
        <f>'Client Load Sheet'!E65</f>
        <v>0</v>
      </c>
      <c r="E72" s="135">
        <f>'Client Load Sheet'!F65</f>
        <v>0</v>
      </c>
      <c r="F72" s="14">
        <f>VLOOKUP(Table27[[#This Row],[COOKING]],Table1018[],3,FALSE)</f>
        <v>0</v>
      </c>
      <c r="G72" s="13">
        <f t="shared" si="7"/>
        <v>0</v>
      </c>
      <c r="H72" s="13">
        <f t="shared" si="8"/>
        <v>0</v>
      </c>
      <c r="K72" s="194" t="s">
        <v>241</v>
      </c>
      <c r="L72" s="194"/>
      <c r="M72" s="205"/>
      <c r="N72" s="199" t="s">
        <v>64</v>
      </c>
      <c r="O72" s="33">
        <v>500</v>
      </c>
      <c r="P72" s="33">
        <v>1500</v>
      </c>
      <c r="Q72" s="17"/>
      <c r="R72" s="17"/>
      <c r="S72" s="17"/>
    </row>
    <row r="73" spans="1:19" ht="15" thickBot="1" x14ac:dyDescent="0.4">
      <c r="A73" s="5" t="s">
        <v>28</v>
      </c>
      <c r="B73" s="151">
        <f>IF('Client Load Sheet'!C66&gt;0,'Client Load Sheet'!C66,VLOOKUP(A73,Table1018[],2,FALSE))</f>
        <v>350</v>
      </c>
      <c r="C73" s="135">
        <f>'Client Load Sheet'!B66</f>
        <v>0</v>
      </c>
      <c r="D73" s="135">
        <f>'Client Load Sheet'!E66</f>
        <v>0</v>
      </c>
      <c r="E73" s="135">
        <f>'Client Load Sheet'!F66</f>
        <v>0</v>
      </c>
      <c r="F73" s="14" t="str">
        <f>VLOOKUP(Table27[[#This Row],[COOKING]],Table1018[],3,FALSE)</f>
        <v>?</v>
      </c>
      <c r="G73" s="13">
        <f t="shared" si="7"/>
        <v>0</v>
      </c>
      <c r="H73" s="13">
        <f t="shared" si="8"/>
        <v>0</v>
      </c>
      <c r="K73" s="195" t="s">
        <v>9</v>
      </c>
      <c r="L73" s="206"/>
      <c r="M73" s="207"/>
      <c r="N73" s="200" t="s">
        <v>9</v>
      </c>
    </row>
    <row r="74" spans="1:19" x14ac:dyDescent="0.35">
      <c r="A74" s="5" t="s">
        <v>29</v>
      </c>
      <c r="B74" s="151">
        <f>IF('Client Load Sheet'!C67&gt;0,'Client Load Sheet'!C67,VLOOKUP(A74,Table1018[],2,FALSE))</f>
        <v>300</v>
      </c>
      <c r="C74" s="135">
        <f>'Client Load Sheet'!B67</f>
        <v>0</v>
      </c>
      <c r="D74" s="135">
        <f>'Client Load Sheet'!E67</f>
        <v>0</v>
      </c>
      <c r="E74" s="135">
        <f>'Client Load Sheet'!F67</f>
        <v>0</v>
      </c>
      <c r="F74" s="14" t="str">
        <f>VLOOKUP(Table27[[#This Row],[COOKING]],Table1018[],3,FALSE)</f>
        <v>?</v>
      </c>
      <c r="G74" s="13">
        <f t="shared" si="7"/>
        <v>0</v>
      </c>
      <c r="H74" s="13">
        <f t="shared" si="8"/>
        <v>0</v>
      </c>
    </row>
    <row r="75" spans="1:19" x14ac:dyDescent="0.35">
      <c r="A75" s="5" t="s">
        <v>30</v>
      </c>
      <c r="B75" s="151">
        <f>IF('Client Load Sheet'!C68&gt;0,'Client Load Sheet'!C68,VLOOKUP(A75,Table1018[],2,FALSE))</f>
        <v>2400</v>
      </c>
      <c r="C75" s="135">
        <f>'Client Load Sheet'!B68</f>
        <v>0</v>
      </c>
      <c r="D75" s="135">
        <f>'Client Load Sheet'!E68</f>
        <v>0</v>
      </c>
      <c r="E75" s="135">
        <f>'Client Load Sheet'!F68</f>
        <v>0</v>
      </c>
      <c r="F75" s="14">
        <f>VLOOKUP(Table27[[#This Row],[COOKING]],Table1018[],3,FALSE)</f>
        <v>0</v>
      </c>
      <c r="G75" s="13">
        <f t="shared" si="7"/>
        <v>0</v>
      </c>
      <c r="H75" s="13">
        <f t="shared" si="8"/>
        <v>0</v>
      </c>
    </row>
    <row r="76" spans="1:19" x14ac:dyDescent="0.35">
      <c r="A76" s="5" t="s">
        <v>127</v>
      </c>
      <c r="B76" s="151">
        <f>IF('Client Load Sheet'!C69&gt;0,'Client Load Sheet'!C69,VLOOKUP(A76,Table1018[],2,FALSE))</f>
        <v>1200</v>
      </c>
      <c r="C76" s="135">
        <f>'Client Load Sheet'!B69</f>
        <v>0</v>
      </c>
      <c r="D76" s="135">
        <f>'Client Load Sheet'!E69</f>
        <v>0</v>
      </c>
      <c r="E76" s="135">
        <f>'Client Load Sheet'!F69</f>
        <v>0</v>
      </c>
      <c r="F76" s="14">
        <f>VLOOKUP(Table27[[#This Row],[COOKING]],Table1018[],3,FALSE)</f>
        <v>0</v>
      </c>
      <c r="G76" s="13">
        <f t="shared" si="7"/>
        <v>0</v>
      </c>
      <c r="H76" s="13">
        <f t="shared" si="8"/>
        <v>0</v>
      </c>
    </row>
    <row r="77" spans="1:19" x14ac:dyDescent="0.35">
      <c r="A77" s="5" t="s">
        <v>128</v>
      </c>
      <c r="B77" s="151">
        <f>IF('Client Load Sheet'!C70&gt;0,'Client Load Sheet'!C70,VLOOKUP(A77,Table1018[],2,FALSE))</f>
        <v>750</v>
      </c>
      <c r="C77" s="135">
        <f>'Client Load Sheet'!B70</f>
        <v>0</v>
      </c>
      <c r="D77" s="135">
        <f>'Client Load Sheet'!E70</f>
        <v>0</v>
      </c>
      <c r="E77" s="135">
        <f>'Client Load Sheet'!F70</f>
        <v>0</v>
      </c>
      <c r="F77" s="14">
        <f>VLOOKUP(Table27[[#This Row],[COOKING]],Table1018[],3,FALSE)</f>
        <v>0</v>
      </c>
      <c r="G77" s="13">
        <f t="shared" si="7"/>
        <v>0</v>
      </c>
      <c r="H77" s="13">
        <f t="shared" si="8"/>
        <v>0</v>
      </c>
    </row>
    <row r="78" spans="1:19" x14ac:dyDescent="0.35">
      <c r="A78" s="5" t="s">
        <v>129</v>
      </c>
      <c r="B78" s="151">
        <f>IF('Client Load Sheet'!C71&gt;0,'Client Load Sheet'!C71,VLOOKUP(A78,Table1018[],2,FALSE))</f>
        <v>1500</v>
      </c>
      <c r="C78" s="135">
        <f>'Client Load Sheet'!B71</f>
        <v>0</v>
      </c>
      <c r="D78" s="135">
        <f>'Client Load Sheet'!E71</f>
        <v>0</v>
      </c>
      <c r="E78" s="135">
        <f>'Client Load Sheet'!F71</f>
        <v>0</v>
      </c>
      <c r="F78" s="14">
        <f>VLOOKUP(Table27[[#This Row],[COOKING]],Table1018[],3,FALSE)</f>
        <v>0</v>
      </c>
      <c r="G78" s="13">
        <f t="shared" si="7"/>
        <v>0</v>
      </c>
      <c r="H78" s="13">
        <f t="shared" si="8"/>
        <v>0</v>
      </c>
    </row>
    <row r="79" spans="1:19" x14ac:dyDescent="0.35">
      <c r="A79" s="5" t="s">
        <v>130</v>
      </c>
      <c r="B79" s="151">
        <f>IF('Client Load Sheet'!C72&gt;0,'Client Load Sheet'!C72,VLOOKUP(A79,Table1018[],2,FALSE))</f>
        <v>1400</v>
      </c>
      <c r="C79" s="135">
        <f>'Client Load Sheet'!B72</f>
        <v>0</v>
      </c>
      <c r="D79" s="135">
        <f>'Client Load Sheet'!E72</f>
        <v>0</v>
      </c>
      <c r="E79" s="135">
        <f>'Client Load Sheet'!F72</f>
        <v>0</v>
      </c>
      <c r="F79" s="14">
        <f>VLOOKUP(Table27[[#This Row],[COOKING]],Table1018[],3,FALSE)</f>
        <v>0</v>
      </c>
      <c r="G79" s="13">
        <f t="shared" si="7"/>
        <v>0</v>
      </c>
      <c r="H79" s="13">
        <f t="shared" si="8"/>
        <v>0</v>
      </c>
    </row>
    <row r="80" spans="1:19" x14ac:dyDescent="0.35">
      <c r="A80" s="5" t="s">
        <v>131</v>
      </c>
      <c r="B80" s="151">
        <f>IF('Client Load Sheet'!C73&gt;0,'Client Load Sheet'!C73,VLOOKUP(A80,Table1018[],2,FALSE))</f>
        <v>1000</v>
      </c>
      <c r="C80" s="135">
        <f>'Client Load Sheet'!B73</f>
        <v>0</v>
      </c>
      <c r="D80" s="135">
        <f>'Client Load Sheet'!E73</f>
        <v>0</v>
      </c>
      <c r="E80" s="135">
        <f>'Client Load Sheet'!F73</f>
        <v>0</v>
      </c>
      <c r="F80" s="14">
        <f>VLOOKUP(Table27[[#This Row],[COOKING]],Table1018[],3,FALSE)</f>
        <v>0</v>
      </c>
      <c r="G80" s="13">
        <f t="shared" si="7"/>
        <v>0</v>
      </c>
      <c r="H80" s="13">
        <f t="shared" si="8"/>
        <v>0</v>
      </c>
    </row>
    <row r="81" spans="1:8" x14ac:dyDescent="0.35">
      <c r="A81" s="5" t="s">
        <v>132</v>
      </c>
      <c r="B81" s="151">
        <f>IF('Client Load Sheet'!C74&gt;0,'Client Load Sheet'!C74,VLOOKUP(A81,Table1018[],2,FALSE))</f>
        <v>140</v>
      </c>
      <c r="C81" s="135">
        <f>'Client Load Sheet'!B74</f>
        <v>0</v>
      </c>
      <c r="D81" s="135">
        <f>'Client Load Sheet'!E74</f>
        <v>0</v>
      </c>
      <c r="E81" s="135">
        <f>'Client Load Sheet'!F74</f>
        <v>0</v>
      </c>
      <c r="F81" s="14">
        <f>VLOOKUP(Table27[[#This Row],[COOKING]],Table1018[],3,FALSE)</f>
        <v>0</v>
      </c>
      <c r="G81" s="13">
        <f t="shared" si="7"/>
        <v>0</v>
      </c>
      <c r="H81" s="13">
        <f t="shared" si="8"/>
        <v>0</v>
      </c>
    </row>
    <row r="82" spans="1:8" x14ac:dyDescent="0.35">
      <c r="A82" s="5" t="s">
        <v>133</v>
      </c>
      <c r="B82" s="151">
        <f>IF('Client Load Sheet'!C75&gt;0,'Client Load Sheet'!C75,VLOOKUP(A82,Table1018[],2,FALSE))</f>
        <v>700</v>
      </c>
      <c r="C82" s="135">
        <f>'Client Load Sheet'!B75</f>
        <v>0</v>
      </c>
      <c r="D82" s="135">
        <f>'Client Load Sheet'!E75</f>
        <v>0</v>
      </c>
      <c r="E82" s="135">
        <f>'Client Load Sheet'!F75</f>
        <v>0</v>
      </c>
      <c r="F82" s="14">
        <f>VLOOKUP(Table27[[#This Row],[COOKING]],Table1018[],3,FALSE)</f>
        <v>0</v>
      </c>
      <c r="G82" s="13">
        <f t="shared" si="7"/>
        <v>0</v>
      </c>
      <c r="H82" s="13">
        <f t="shared" si="8"/>
        <v>0</v>
      </c>
    </row>
    <row r="83" spans="1:8" x14ac:dyDescent="0.35">
      <c r="A83" s="5" t="s">
        <v>31</v>
      </c>
      <c r="B83" s="151">
        <f>IF('Client Load Sheet'!C76&gt;0,'Client Load Sheet'!C76,VLOOKUP(A83,Table1018[],2,FALSE))</f>
        <v>250</v>
      </c>
      <c r="C83" s="135">
        <f>'Client Load Sheet'!B76</f>
        <v>0</v>
      </c>
      <c r="D83" s="135">
        <f>'Client Load Sheet'!E76</f>
        <v>0</v>
      </c>
      <c r="E83" s="135">
        <f>'Client Load Sheet'!F76</f>
        <v>0</v>
      </c>
      <c r="F83" s="14">
        <f>VLOOKUP(Table27[[#This Row],[COOKING]],Table1018[],3,FALSE)</f>
        <v>0</v>
      </c>
      <c r="G83" s="13">
        <f t="shared" si="7"/>
        <v>0</v>
      </c>
      <c r="H83" s="13">
        <f t="shared" si="8"/>
        <v>0</v>
      </c>
    </row>
    <row r="84" spans="1:8" x14ac:dyDescent="0.35">
      <c r="A84" s="5" t="s">
        <v>32</v>
      </c>
      <c r="B84" s="151">
        <f>IF('Client Load Sheet'!C77&gt;0,'Client Load Sheet'!C77,VLOOKUP(A84,Table1018[],2,FALSE))</f>
        <v>1200</v>
      </c>
      <c r="C84" s="135">
        <f>'Client Load Sheet'!B77</f>
        <v>0</v>
      </c>
      <c r="D84" s="135">
        <f>'Client Load Sheet'!E77</f>
        <v>0</v>
      </c>
      <c r="E84" s="135">
        <f>'Client Load Sheet'!F77</f>
        <v>0</v>
      </c>
      <c r="F84" s="14">
        <f>VLOOKUP(Table27[[#This Row],[COOKING]],Table1018[],3,FALSE)</f>
        <v>0</v>
      </c>
      <c r="G84" s="13">
        <f t="shared" si="7"/>
        <v>0</v>
      </c>
      <c r="H84" s="13">
        <f t="shared" si="8"/>
        <v>0</v>
      </c>
    </row>
    <row r="85" spans="1:8" x14ac:dyDescent="0.35">
      <c r="A85" s="5" t="s">
        <v>33</v>
      </c>
      <c r="B85" s="151">
        <f>IF('Client Load Sheet'!C78&gt;0,'Client Load Sheet'!C78,VLOOKUP(A85,Table1018[],2,FALSE))</f>
        <v>800</v>
      </c>
      <c r="C85" s="135">
        <f>'Client Load Sheet'!B78</f>
        <v>0</v>
      </c>
      <c r="D85" s="135">
        <f>'Client Load Sheet'!E78</f>
        <v>0</v>
      </c>
      <c r="E85" s="135">
        <f>'Client Load Sheet'!F78</f>
        <v>0</v>
      </c>
      <c r="F85" s="14">
        <f>VLOOKUP(Table27[[#This Row],[COOKING]],Table1018[],3,FALSE)</f>
        <v>0</v>
      </c>
      <c r="G85" s="13">
        <f t="shared" si="7"/>
        <v>0</v>
      </c>
      <c r="H85" s="13">
        <f t="shared" si="8"/>
        <v>0</v>
      </c>
    </row>
    <row r="86" spans="1:8" x14ac:dyDescent="0.35">
      <c r="A86" s="5" t="s">
        <v>134</v>
      </c>
      <c r="B86" s="151">
        <f>IF('Client Load Sheet'!C79&gt;0,'Client Load Sheet'!C79,VLOOKUP(A86,Table1018[],2,FALSE))</f>
        <v>1800</v>
      </c>
      <c r="C86" s="135">
        <f>'Client Load Sheet'!B79</f>
        <v>0</v>
      </c>
      <c r="D86" s="135">
        <f>'Client Load Sheet'!E79</f>
        <v>0</v>
      </c>
      <c r="E86" s="135">
        <f>'Client Load Sheet'!F79</f>
        <v>0</v>
      </c>
      <c r="F86" s="14">
        <f>VLOOKUP(Table27[[#This Row],[COOKING]],Table1018[],3,FALSE)</f>
        <v>0</v>
      </c>
      <c r="G86" s="13">
        <f t="shared" si="7"/>
        <v>0</v>
      </c>
      <c r="H86" s="13">
        <f t="shared" si="8"/>
        <v>0</v>
      </c>
    </row>
    <row r="87" spans="1:8" x14ac:dyDescent="0.35">
      <c r="A87" s="5" t="s">
        <v>135</v>
      </c>
      <c r="B87" s="151">
        <f>IF('Client Load Sheet'!C80&gt;0,'Client Load Sheet'!C80,VLOOKUP(A87,Table1018[],2,FALSE))</f>
        <v>1200</v>
      </c>
      <c r="C87" s="135">
        <f>'Client Load Sheet'!B80</f>
        <v>0</v>
      </c>
      <c r="D87" s="135">
        <f>'Client Load Sheet'!E80</f>
        <v>0</v>
      </c>
      <c r="E87" s="135">
        <f>'Client Load Sheet'!F80</f>
        <v>0</v>
      </c>
      <c r="F87" s="14">
        <f>VLOOKUP(Table27[[#This Row],[COOKING]],Table1018[],3,FALSE)</f>
        <v>0</v>
      </c>
      <c r="G87" s="13">
        <f t="shared" si="7"/>
        <v>0</v>
      </c>
      <c r="H87" s="13">
        <f t="shared" si="8"/>
        <v>0</v>
      </c>
    </row>
    <row r="88" spans="1:8" x14ac:dyDescent="0.35">
      <c r="A88" s="5" t="s">
        <v>34</v>
      </c>
      <c r="B88" s="151">
        <f>IF('Client Load Sheet'!C81&gt;0,'Client Load Sheet'!C81,VLOOKUP(A88,Table1018[],2,FALSE))</f>
        <v>2000</v>
      </c>
      <c r="C88" s="135">
        <f>'Client Load Sheet'!B81</f>
        <v>0</v>
      </c>
      <c r="D88" s="135">
        <f>'Client Load Sheet'!E81</f>
        <v>0</v>
      </c>
      <c r="E88" s="135">
        <f>'Client Load Sheet'!F81</f>
        <v>0</v>
      </c>
      <c r="F88" s="14">
        <f>VLOOKUP(Table27[[#This Row],[COOKING]],Table1018[],3,FALSE)</f>
        <v>0</v>
      </c>
      <c r="G88" s="13">
        <f>B88*C88*D88*E88</f>
        <v>0</v>
      </c>
      <c r="H88" s="13">
        <f>ROUNDUP(G88/7,0)</f>
        <v>0</v>
      </c>
    </row>
    <row r="89" spans="1:8" x14ac:dyDescent="0.35">
      <c r="A89" s="5" t="s">
        <v>35</v>
      </c>
      <c r="B89" s="151">
        <f>IF('Client Load Sheet'!C82&gt;0,'Client Load Sheet'!C82,VLOOKUP(A89,Table1018[],2,FALSE))</f>
        <v>1200</v>
      </c>
      <c r="C89" s="135">
        <f>'Client Load Sheet'!B82</f>
        <v>0</v>
      </c>
      <c r="D89" s="135">
        <f>'Client Load Sheet'!E82</f>
        <v>0</v>
      </c>
      <c r="E89" s="135">
        <f>'Client Load Sheet'!F82</f>
        <v>0</v>
      </c>
      <c r="F89" s="14">
        <f>VLOOKUP(Table27[[#This Row],[COOKING]],Table1018[],3,FALSE)</f>
        <v>0</v>
      </c>
      <c r="G89" s="13">
        <f t="shared" si="7"/>
        <v>0</v>
      </c>
      <c r="H89" s="13">
        <f t="shared" si="8"/>
        <v>0</v>
      </c>
    </row>
    <row r="90" spans="1:8" x14ac:dyDescent="0.35">
      <c r="A90" s="5" t="s">
        <v>9</v>
      </c>
      <c r="B90" s="151">
        <f>IF('Client Load Sheet'!C83&gt;0,'Client Load Sheet'!C83,VLOOKUP(A90,Table1018[],2,FALSE))</f>
        <v>0</v>
      </c>
      <c r="C90" s="135">
        <f>'Client Load Sheet'!B83</f>
        <v>0</v>
      </c>
      <c r="D90" s="135">
        <f>'Client Load Sheet'!E83</f>
        <v>0</v>
      </c>
      <c r="E90" s="135">
        <f>'Client Load Sheet'!F83</f>
        <v>0</v>
      </c>
      <c r="F90" s="129">
        <f>VLOOKUP(Table27[[#This Row],[COOKING]],Table1018[],3,FALSE)</f>
        <v>0</v>
      </c>
      <c r="G90" s="128">
        <f t="shared" si="7"/>
        <v>0</v>
      </c>
      <c r="H90" s="128">
        <f t="shared" si="8"/>
        <v>0</v>
      </c>
    </row>
    <row r="91" spans="1:8" x14ac:dyDescent="0.35">
      <c r="A91" s="6" t="s">
        <v>9</v>
      </c>
      <c r="B91" s="151">
        <f>IF('Client Load Sheet'!C84&gt;0,'Client Load Sheet'!C84,VLOOKUP(A91,Table1018[],2,FALSE))</f>
        <v>0</v>
      </c>
      <c r="C91" s="135">
        <f>'Client Load Sheet'!B84</f>
        <v>0</v>
      </c>
      <c r="D91" s="135">
        <f>'Client Load Sheet'!E84</f>
        <v>0</v>
      </c>
      <c r="E91" s="135">
        <f>'Client Load Sheet'!F84</f>
        <v>0</v>
      </c>
      <c r="F91" s="14">
        <f>VLOOKUP(Table27[[#This Row],[COOKING]],Table1018[],3,FALSE)</f>
        <v>0</v>
      </c>
      <c r="G91" s="13">
        <f>B91*C91*D91*E91</f>
        <v>0</v>
      </c>
      <c r="H91" s="13">
        <f>ROUNDUP(G91/7,0)</f>
        <v>0</v>
      </c>
    </row>
    <row r="92" spans="1:8" x14ac:dyDescent="0.35">
      <c r="A92" s="6" t="s">
        <v>9</v>
      </c>
      <c r="B92" s="151">
        <f>IF('Client Load Sheet'!C85&gt;0,'Client Load Sheet'!C85,VLOOKUP(A92,Table1018[],2,FALSE))</f>
        <v>0</v>
      </c>
      <c r="C92" s="135">
        <f>'Client Load Sheet'!B85</f>
        <v>0</v>
      </c>
      <c r="D92" s="135">
        <f>'Client Load Sheet'!E85</f>
        <v>0</v>
      </c>
      <c r="E92" s="135">
        <f>'Client Load Sheet'!F85</f>
        <v>0</v>
      </c>
      <c r="F92" s="14">
        <f>VLOOKUP(Table27[[#This Row],[COOKING]],Table1018[],3,FALSE)</f>
        <v>0</v>
      </c>
      <c r="G92" s="13">
        <f>B92*C92*D92*E92</f>
        <v>0</v>
      </c>
      <c r="H92" s="13">
        <f>ROUNDUP(G92/7,0)</f>
        <v>0</v>
      </c>
    </row>
    <row r="93" spans="1:8" x14ac:dyDescent="0.35">
      <c r="A93" s="6" t="s">
        <v>9</v>
      </c>
      <c r="B93" s="151">
        <f>IF('Client Load Sheet'!C86&gt;0,'Client Load Sheet'!C86,VLOOKUP(A93,Table1018[],2,FALSE))</f>
        <v>0</v>
      </c>
      <c r="C93" s="135">
        <f>'Client Load Sheet'!B86</f>
        <v>0</v>
      </c>
      <c r="D93" s="135">
        <f>'Client Load Sheet'!E86</f>
        <v>0</v>
      </c>
      <c r="E93" s="135">
        <f>'Client Load Sheet'!F86</f>
        <v>0</v>
      </c>
      <c r="F93" s="14">
        <f>VLOOKUP(Table27[[#This Row],[COOKING]],Table1018[],3,FALSE)</f>
        <v>0</v>
      </c>
      <c r="G93" s="13">
        <f t="shared" ref="G93:G94" si="9">B93*C93*D93*E93</f>
        <v>0</v>
      </c>
      <c r="H93" s="13">
        <f t="shared" ref="H93:H94" si="10">ROUNDUP(G93/7,0)</f>
        <v>0</v>
      </c>
    </row>
    <row r="94" spans="1:8" ht="15" thickBot="1" x14ac:dyDescent="0.4">
      <c r="A94" s="6" t="s">
        <v>9</v>
      </c>
      <c r="B94" s="151">
        <f>IF('Client Load Sheet'!C87&gt;0,'Client Load Sheet'!C87,VLOOKUP(A94,Table1018[],2,FALSE))</f>
        <v>0</v>
      </c>
      <c r="C94" s="135">
        <f>'Client Load Sheet'!B87</f>
        <v>0</v>
      </c>
      <c r="D94" s="135">
        <f>'Client Load Sheet'!E87</f>
        <v>0</v>
      </c>
      <c r="E94" s="135">
        <f>'Client Load Sheet'!F87</f>
        <v>0</v>
      </c>
      <c r="F94" s="14">
        <f>VLOOKUP(Table27[[#This Row],[COOKING]],Table1018[],3,FALSE)</f>
        <v>0</v>
      </c>
      <c r="G94" s="13">
        <f t="shared" si="9"/>
        <v>0</v>
      </c>
      <c r="H94" s="13">
        <f t="shared" si="10"/>
        <v>0</v>
      </c>
    </row>
    <row r="95" spans="1:8" ht="15" thickBot="1" x14ac:dyDescent="0.4">
      <c r="A95" s="147"/>
      <c r="B95" s="148"/>
      <c r="C95" s="148"/>
      <c r="D95" s="148"/>
      <c r="E95" s="148"/>
      <c r="F95" s="149"/>
      <c r="G95" s="148" t="s">
        <v>91</v>
      </c>
      <c r="H95" s="150">
        <f>SUM(Table27[Daily Total])</f>
        <v>0</v>
      </c>
    </row>
    <row r="96" spans="1:8" ht="15" thickBot="1" x14ac:dyDescent="0.4">
      <c r="A96" s="153" t="s">
        <v>238</v>
      </c>
      <c r="B96" s="154" t="s">
        <v>85</v>
      </c>
      <c r="C96" s="154" t="s">
        <v>0</v>
      </c>
      <c r="D96" s="154" t="s">
        <v>86</v>
      </c>
      <c r="E96" s="154" t="s">
        <v>1</v>
      </c>
      <c r="F96" s="154" t="s">
        <v>87</v>
      </c>
      <c r="G96" s="154" t="s">
        <v>88</v>
      </c>
      <c r="H96" s="155" t="s">
        <v>89</v>
      </c>
    </row>
    <row r="97" spans="1:8" x14ac:dyDescent="0.35">
      <c r="A97" s="72" t="s">
        <v>36</v>
      </c>
      <c r="B97" s="161">
        <f>IF('Client Load Sheet'!C89&gt;0,'Client Load Sheet'!C89,VLOOKUP(A97,Table917[],2,FALSE))</f>
        <v>700</v>
      </c>
      <c r="C97" s="130">
        <f>'Client Load Sheet'!B89</f>
        <v>0</v>
      </c>
      <c r="D97" s="130">
        <f>'Client Load Sheet'!E89</f>
        <v>0</v>
      </c>
      <c r="E97" s="130">
        <f>'Client Load Sheet'!F89</f>
        <v>0</v>
      </c>
      <c r="F97" s="130">
        <f>VLOOKUP(A97,Table917[],3,FALSE)</f>
        <v>1800</v>
      </c>
      <c r="G97" s="152">
        <f>B97*C97*D97*E97</f>
        <v>0</v>
      </c>
      <c r="H97" s="152">
        <f>ROUNDUP(G97/7,0)</f>
        <v>0</v>
      </c>
    </row>
    <row r="98" spans="1:8" x14ac:dyDescent="0.35">
      <c r="A98" s="5" t="s">
        <v>37</v>
      </c>
      <c r="B98" s="161">
        <f>IF('Client Load Sheet'!C90&gt;0,'Client Load Sheet'!C90,VLOOKUP(A98,Table917[],2,FALSE))</f>
        <v>2000</v>
      </c>
      <c r="C98" s="130">
        <f>'Client Load Sheet'!B90</f>
        <v>0</v>
      </c>
      <c r="D98" s="130">
        <f>'Client Load Sheet'!E90</f>
        <v>0</v>
      </c>
      <c r="E98" s="130">
        <f>'Client Load Sheet'!F90</f>
        <v>0</v>
      </c>
      <c r="F98" s="23">
        <f>VLOOKUP(A98,Table917[],3,FALSE)</f>
        <v>0</v>
      </c>
      <c r="G98" s="19">
        <f t="shared" ref="G98" si="11">B98*C98*D98*E98</f>
        <v>0</v>
      </c>
      <c r="H98" s="19">
        <f t="shared" ref="H98" si="12">ROUNDUP(G98/7,0)</f>
        <v>0</v>
      </c>
    </row>
    <row r="99" spans="1:8" x14ac:dyDescent="0.35">
      <c r="A99" s="5" t="s">
        <v>136</v>
      </c>
      <c r="B99" s="161">
        <f>IF('Client Load Sheet'!C91&gt;0,'Client Load Sheet'!C91,VLOOKUP(A99,Table917[],2,FALSE))</f>
        <v>2500</v>
      </c>
      <c r="C99" s="130">
        <f>'Client Load Sheet'!B91</f>
        <v>0</v>
      </c>
      <c r="D99" s="130">
        <f>'Client Load Sheet'!E91</f>
        <v>0</v>
      </c>
      <c r="E99" s="130">
        <f>'Client Load Sheet'!F91</f>
        <v>0</v>
      </c>
      <c r="F99" s="23">
        <f>VLOOKUP(A99,Table917[],3,FALSE)</f>
        <v>1500</v>
      </c>
      <c r="G99" s="21">
        <f t="shared" ref="G99:G106" si="13">B99*C99*D99*E99</f>
        <v>0</v>
      </c>
      <c r="H99" s="21">
        <f t="shared" ref="H99:H106" si="14">ROUNDUP(G99/7,0)</f>
        <v>0</v>
      </c>
    </row>
    <row r="100" spans="1:8" x14ac:dyDescent="0.35">
      <c r="A100" s="5" t="s">
        <v>38</v>
      </c>
      <c r="B100" s="161">
        <f>IF('Client Load Sheet'!C92&gt;0,'Client Load Sheet'!C92,VLOOKUP(A100,Table917[],2,FALSE))</f>
        <v>700</v>
      </c>
      <c r="C100" s="130">
        <f>'Client Load Sheet'!B92</f>
        <v>0</v>
      </c>
      <c r="D100" s="130">
        <f>'Client Load Sheet'!E92</f>
        <v>0</v>
      </c>
      <c r="E100" s="130">
        <f>'Client Load Sheet'!F92</f>
        <v>0</v>
      </c>
      <c r="F100" s="23">
        <f>VLOOKUP(A100,Table917[],3,FALSE)</f>
        <v>0</v>
      </c>
      <c r="G100" s="19">
        <f t="shared" si="13"/>
        <v>0</v>
      </c>
      <c r="H100" s="19">
        <f t="shared" si="14"/>
        <v>0</v>
      </c>
    </row>
    <row r="101" spans="1:8" x14ac:dyDescent="0.35">
      <c r="A101" s="5" t="s">
        <v>137</v>
      </c>
      <c r="B101" s="161">
        <f>IF('Client Load Sheet'!C93&gt;0,'Client Load Sheet'!C93,VLOOKUP(A101,Table917[],2,FALSE))</f>
        <v>1000</v>
      </c>
      <c r="C101" s="130">
        <f>'Client Load Sheet'!B93</f>
        <v>0</v>
      </c>
      <c r="D101" s="130">
        <f>'Client Load Sheet'!E93</f>
        <v>0</v>
      </c>
      <c r="E101" s="130">
        <f>'Client Load Sheet'!F93</f>
        <v>0</v>
      </c>
      <c r="F101" s="23">
        <f>VLOOKUP(A101,Table917[],3,FALSE)</f>
        <v>2250</v>
      </c>
      <c r="G101" s="19">
        <f t="shared" si="13"/>
        <v>0</v>
      </c>
      <c r="H101" s="19">
        <f t="shared" si="14"/>
        <v>0</v>
      </c>
    </row>
    <row r="102" spans="1:8" x14ac:dyDescent="0.35">
      <c r="A102" s="6" t="s">
        <v>138</v>
      </c>
      <c r="B102" s="161">
        <f>IF('Client Load Sheet'!C94&gt;0,'Client Load Sheet'!C94,VLOOKUP(A102,Table917[],2,FALSE))</f>
        <v>2500</v>
      </c>
      <c r="C102" s="130">
        <f>'Client Load Sheet'!B94</f>
        <v>0</v>
      </c>
      <c r="D102" s="130">
        <f>'Client Load Sheet'!E94</f>
        <v>0</v>
      </c>
      <c r="E102" s="130">
        <f>'Client Load Sheet'!F94</f>
        <v>0</v>
      </c>
      <c r="F102" s="23">
        <f>VLOOKUP(A102,Table917[],3,FALSE)</f>
        <v>4000</v>
      </c>
      <c r="G102" s="19">
        <f>B102*C102*D102*E102</f>
        <v>0</v>
      </c>
      <c r="H102" s="19">
        <f>ROUNDUP(G102/7,0)</f>
        <v>0</v>
      </c>
    </row>
    <row r="103" spans="1:8" x14ac:dyDescent="0.35">
      <c r="A103" s="5" t="s">
        <v>139</v>
      </c>
      <c r="B103" s="161">
        <f>IF('Client Load Sheet'!C95&gt;0,'Client Load Sheet'!C95,VLOOKUP(A103,Table917[],2,FALSE))</f>
        <v>500</v>
      </c>
      <c r="C103" s="130">
        <f>'Client Load Sheet'!B95</f>
        <v>0</v>
      </c>
      <c r="D103" s="130">
        <f>'Client Load Sheet'!E95</f>
        <v>0</v>
      </c>
      <c r="E103" s="130">
        <f>'Client Load Sheet'!F95</f>
        <v>0</v>
      </c>
      <c r="F103" s="23">
        <f>VLOOKUP(A103,Table917[],3,FALSE)</f>
        <v>1000</v>
      </c>
      <c r="G103" s="19">
        <f>B103*C103*D103*E103</f>
        <v>0</v>
      </c>
      <c r="H103" s="19">
        <f>ROUNDUP(G103/7,0)</f>
        <v>0</v>
      </c>
    </row>
    <row r="104" spans="1:8" x14ac:dyDescent="0.35">
      <c r="A104" s="6" t="s">
        <v>140</v>
      </c>
      <c r="B104" s="161">
        <f>IF('Client Load Sheet'!C96&gt;0,'Client Load Sheet'!C96,VLOOKUP(A104,Table917[],2,FALSE))</f>
        <v>800</v>
      </c>
      <c r="C104" s="130">
        <f>'Client Load Sheet'!B96</f>
        <v>0</v>
      </c>
      <c r="D104" s="130">
        <f>'Client Load Sheet'!E96</f>
        <v>0</v>
      </c>
      <c r="E104" s="130">
        <f>'Client Load Sheet'!F96</f>
        <v>0</v>
      </c>
      <c r="F104" s="23">
        <f>VLOOKUP(A104,Table917[],3,FALSE)</f>
        <v>1600</v>
      </c>
      <c r="G104" s="19">
        <f>B104*C104*D104*E104</f>
        <v>0</v>
      </c>
      <c r="H104" s="19">
        <f>ROUNDUP(G104/7,0)</f>
        <v>0</v>
      </c>
    </row>
    <row r="105" spans="1:8" x14ac:dyDescent="0.35">
      <c r="A105" s="4" t="s">
        <v>9</v>
      </c>
      <c r="B105" s="161">
        <f>IF('Client Load Sheet'!C97&gt;0,'Client Load Sheet'!C97,VLOOKUP(A105,Table917[],2,FALSE))</f>
        <v>0</v>
      </c>
      <c r="C105" s="130">
        <f>'Client Load Sheet'!B97</f>
        <v>0</v>
      </c>
      <c r="D105" s="130">
        <f>'Client Load Sheet'!E97</f>
        <v>0</v>
      </c>
      <c r="E105" s="130">
        <f>'Client Load Sheet'!F97</f>
        <v>0</v>
      </c>
      <c r="F105" s="23">
        <f>VLOOKUP(A105,Table917[],3,FALSE)</f>
        <v>0</v>
      </c>
      <c r="G105" s="19">
        <f>B105*C105*D105*E105</f>
        <v>0</v>
      </c>
      <c r="H105" s="19">
        <f>ROUNDUP(G105/7,0)</f>
        <v>0</v>
      </c>
    </row>
    <row r="106" spans="1:8" ht="15" thickBot="1" x14ac:dyDescent="0.4">
      <c r="A106" s="162" t="s">
        <v>9</v>
      </c>
      <c r="B106" s="161">
        <f>IF('Client Load Sheet'!C98&gt;0,'Client Load Sheet'!C98,VLOOKUP(A106,Table917[],2,FALSE))</f>
        <v>0</v>
      </c>
      <c r="C106" s="130">
        <f>'Client Load Sheet'!B98</f>
        <v>0</v>
      </c>
      <c r="D106" s="130">
        <f>'Client Load Sheet'!E98</f>
        <v>0</v>
      </c>
      <c r="E106" s="130">
        <f>'Client Load Sheet'!F98</f>
        <v>0</v>
      </c>
      <c r="F106" s="23">
        <f>VLOOKUP(A106,Table917[],3,FALSE)</f>
        <v>0</v>
      </c>
      <c r="G106" s="19">
        <f t="shared" si="13"/>
        <v>0</v>
      </c>
      <c r="H106" s="19">
        <f t="shared" si="14"/>
        <v>0</v>
      </c>
    </row>
    <row r="107" spans="1:8" ht="15" thickBot="1" x14ac:dyDescent="0.4">
      <c r="A107" s="158"/>
      <c r="B107" s="159"/>
      <c r="C107" s="159"/>
      <c r="D107" s="159"/>
      <c r="E107" s="159"/>
      <c r="F107" s="159"/>
      <c r="G107" s="159" t="s">
        <v>91</v>
      </c>
      <c r="H107" s="160">
        <f>SUM(Table34[Daily Total])</f>
        <v>0</v>
      </c>
    </row>
    <row r="108" spans="1:8" ht="15" thickBot="1" x14ac:dyDescent="0.4">
      <c r="A108" s="163" t="s">
        <v>155</v>
      </c>
      <c r="B108" s="164" t="s">
        <v>85</v>
      </c>
      <c r="C108" s="164" t="s">
        <v>0</v>
      </c>
      <c r="D108" s="164" t="s">
        <v>86</v>
      </c>
      <c r="E108" s="164" t="s">
        <v>1</v>
      </c>
      <c r="F108" s="164" t="s">
        <v>87</v>
      </c>
      <c r="G108" s="164" t="s">
        <v>88</v>
      </c>
      <c r="H108" s="165" t="s">
        <v>89</v>
      </c>
    </row>
    <row r="109" spans="1:8" x14ac:dyDescent="0.35">
      <c r="A109" s="72" t="s">
        <v>39</v>
      </c>
      <c r="B109" s="151">
        <f>IF('Client Load Sheet'!C101&gt;0,'Client Load Sheet'!C101,VLOOKUP(A109,Table68[],2,FALSE))</f>
        <v>10</v>
      </c>
      <c r="C109" s="135">
        <f>'Client Load Sheet'!B101</f>
        <v>0</v>
      </c>
      <c r="D109" s="135">
        <f>'Client Load Sheet'!E101</f>
        <v>0</v>
      </c>
      <c r="E109" s="135">
        <f>'Client Load Sheet'!F101</f>
        <v>0</v>
      </c>
      <c r="F109" s="135">
        <f>VLOOKUP(Table26[[#This Row],[IT EQUIPMENTS]],Table68[],3,FALSE)</f>
        <v>0</v>
      </c>
      <c r="G109" s="135">
        <f t="shared" ref="G109:G114" si="15">B109*C109*D109*E109</f>
        <v>0</v>
      </c>
      <c r="H109" s="135">
        <f t="shared" ref="H109:H114" si="16">ROUNDUP(G109/7,0)</f>
        <v>0</v>
      </c>
    </row>
    <row r="110" spans="1:8" x14ac:dyDescent="0.35">
      <c r="A110" s="5" t="s">
        <v>40</v>
      </c>
      <c r="B110" s="151">
        <f>IF('Client Load Sheet'!C102&gt;0,'Client Load Sheet'!C102,VLOOKUP(A110,Table68[],2,FALSE))</f>
        <v>50</v>
      </c>
      <c r="C110" s="13">
        <f>'Client Load Sheet'!B102</f>
        <v>0</v>
      </c>
      <c r="D110" s="13">
        <f>'Client Load Sheet'!E102</f>
        <v>0</v>
      </c>
      <c r="E110" s="13">
        <f>'Client Load Sheet'!F102</f>
        <v>0</v>
      </c>
      <c r="F110" s="13">
        <f>VLOOKUP(Table26[[#This Row],[IT EQUIPMENTS]],Table68[],3,FALSE)</f>
        <v>0</v>
      </c>
      <c r="G110" s="13">
        <f t="shared" si="15"/>
        <v>0</v>
      </c>
      <c r="H110" s="13">
        <f t="shared" si="16"/>
        <v>0</v>
      </c>
    </row>
    <row r="111" spans="1:8" x14ac:dyDescent="0.35">
      <c r="A111" s="5" t="s">
        <v>41</v>
      </c>
      <c r="B111" s="151">
        <f>IF('Client Load Sheet'!C103&gt;0,'Client Load Sheet'!C103,VLOOKUP(A111,Table68[],2,FALSE))</f>
        <v>1600</v>
      </c>
      <c r="C111" s="13">
        <f>'Client Load Sheet'!B103</f>
        <v>0</v>
      </c>
      <c r="D111" s="13">
        <f>'Client Load Sheet'!E103</f>
        <v>0</v>
      </c>
      <c r="E111" s="13">
        <f>'Client Load Sheet'!F103</f>
        <v>0</v>
      </c>
      <c r="F111" s="13">
        <f>VLOOKUP(Table26[[#This Row],[IT EQUIPMENTS]],Table68[],3,FALSE)</f>
        <v>0</v>
      </c>
      <c r="G111" s="13">
        <f t="shared" si="15"/>
        <v>0</v>
      </c>
      <c r="H111" s="13">
        <f t="shared" si="16"/>
        <v>0</v>
      </c>
    </row>
    <row r="112" spans="1:8" x14ac:dyDescent="0.35">
      <c r="A112" s="5" t="s">
        <v>141</v>
      </c>
      <c r="B112" s="151">
        <f>IF('Client Load Sheet'!C104&gt;0,'Client Load Sheet'!C104,VLOOKUP(A112,Table68[],2,FALSE))</f>
        <v>5</v>
      </c>
      <c r="C112" s="13">
        <f>'Client Load Sheet'!B104</f>
        <v>0</v>
      </c>
      <c r="D112" s="13">
        <f>'Client Load Sheet'!E104</f>
        <v>0</v>
      </c>
      <c r="E112" s="13">
        <f>'Client Load Sheet'!F104</f>
        <v>0</v>
      </c>
      <c r="F112" s="14">
        <f>VLOOKUP(Table26[[#This Row],[IT EQUIPMENTS]],Table68[],3,FALSE)</f>
        <v>0</v>
      </c>
      <c r="G112" s="13">
        <f t="shared" si="15"/>
        <v>0</v>
      </c>
      <c r="H112" s="13">
        <f t="shared" si="16"/>
        <v>0</v>
      </c>
    </row>
    <row r="113" spans="1:8" x14ac:dyDescent="0.35">
      <c r="A113" s="5" t="s">
        <v>43</v>
      </c>
      <c r="B113" s="151">
        <f>IF('Client Load Sheet'!C105&gt;0,'Client Load Sheet'!C105,VLOOKUP(A113,Table68[],2,FALSE))</f>
        <v>120</v>
      </c>
      <c r="C113" s="13">
        <f>'Client Load Sheet'!B105</f>
        <v>0</v>
      </c>
      <c r="D113" s="13">
        <f>'Client Load Sheet'!E105</f>
        <v>0</v>
      </c>
      <c r="E113" s="13">
        <f>'Client Load Sheet'!F105</f>
        <v>0</v>
      </c>
      <c r="F113" s="14">
        <f>VLOOKUP(Table26[[#This Row],[IT EQUIPMENTS]],Table68[],3,FALSE)</f>
        <v>0</v>
      </c>
      <c r="G113" s="13">
        <f t="shared" si="15"/>
        <v>0</v>
      </c>
      <c r="H113" s="13">
        <f t="shared" si="16"/>
        <v>0</v>
      </c>
    </row>
    <row r="114" spans="1:8" x14ac:dyDescent="0.35">
      <c r="A114" s="5" t="s">
        <v>44</v>
      </c>
      <c r="B114" s="151">
        <f>IF('Client Load Sheet'!C106&gt;0,'Client Load Sheet'!C106,VLOOKUP(A114,Table68[],2,FALSE))</f>
        <v>600</v>
      </c>
      <c r="C114" s="13">
        <f>'Client Load Sheet'!B106</f>
        <v>0</v>
      </c>
      <c r="D114" s="13">
        <f>'Client Load Sheet'!E106</f>
        <v>0</v>
      </c>
      <c r="E114" s="13">
        <f>'Client Load Sheet'!F106</f>
        <v>0</v>
      </c>
      <c r="F114" s="14">
        <f>VLOOKUP(Table26[[#This Row],[IT EQUIPMENTS]],Table68[],3,FALSE)</f>
        <v>0</v>
      </c>
      <c r="G114" s="13">
        <f t="shared" si="15"/>
        <v>0</v>
      </c>
      <c r="H114" s="13">
        <f t="shared" si="16"/>
        <v>0</v>
      </c>
    </row>
    <row r="115" spans="1:8" x14ac:dyDescent="0.35">
      <c r="A115" s="5" t="s">
        <v>142</v>
      </c>
      <c r="B115" s="151">
        <f>IF('Client Load Sheet'!C107&gt;0,'Client Load Sheet'!C107,VLOOKUP(A115,Table68[],2,FALSE))</f>
        <v>10</v>
      </c>
      <c r="C115" s="13">
        <f>'Client Load Sheet'!B107</f>
        <v>0</v>
      </c>
      <c r="D115" s="13">
        <f>'Client Load Sheet'!E107</f>
        <v>0</v>
      </c>
      <c r="E115" s="13">
        <f>'Client Load Sheet'!F107</f>
        <v>0</v>
      </c>
      <c r="F115" s="14">
        <f>VLOOKUP(Table26[[#This Row],[IT EQUIPMENTS]],Table68[],3,FALSE)</f>
        <v>0</v>
      </c>
      <c r="G115" s="13">
        <f t="shared" ref="G115:G126" si="17">B115*C115*D115*E115</f>
        <v>0</v>
      </c>
      <c r="H115" s="13">
        <f t="shared" ref="H115:H126" si="18">ROUNDUP(G115/7,0)</f>
        <v>0</v>
      </c>
    </row>
    <row r="116" spans="1:8" x14ac:dyDescent="0.35">
      <c r="A116" s="5" t="s">
        <v>46</v>
      </c>
      <c r="B116" s="151">
        <f>IF('Client Load Sheet'!C108&gt;0,'Client Load Sheet'!C108,VLOOKUP(A116,Table68[],2,FALSE))</f>
        <v>100</v>
      </c>
      <c r="C116" s="13">
        <f>'Client Load Sheet'!B108</f>
        <v>0</v>
      </c>
      <c r="D116" s="13">
        <f>'Client Load Sheet'!E108</f>
        <v>0</v>
      </c>
      <c r="E116" s="13">
        <f>'Client Load Sheet'!F108</f>
        <v>0</v>
      </c>
      <c r="F116" s="14">
        <f>VLOOKUP(Table26[[#This Row],[IT EQUIPMENTS]],Table68[],3,FALSE)</f>
        <v>0</v>
      </c>
      <c r="G116" s="13">
        <f t="shared" si="17"/>
        <v>0</v>
      </c>
      <c r="H116" s="13">
        <f t="shared" si="18"/>
        <v>0</v>
      </c>
    </row>
    <row r="117" spans="1:8" x14ac:dyDescent="0.35">
      <c r="A117" s="5" t="s">
        <v>47</v>
      </c>
      <c r="B117" s="151">
        <f>IF('Client Load Sheet'!C109&gt;0,'Client Load Sheet'!C109,VLOOKUP(A117,Table68[],2,FALSE))</f>
        <v>110</v>
      </c>
      <c r="C117" s="13">
        <f>'Client Load Sheet'!B109</f>
        <v>0</v>
      </c>
      <c r="D117" s="13">
        <f>'Client Load Sheet'!E109</f>
        <v>0</v>
      </c>
      <c r="E117" s="13">
        <f>'Client Load Sheet'!F109</f>
        <v>0</v>
      </c>
      <c r="F117" s="14">
        <f>VLOOKUP(Table26[[#This Row],[IT EQUIPMENTS]],Table68[],3,FALSE)</f>
        <v>0</v>
      </c>
      <c r="G117" s="13">
        <f t="shared" si="17"/>
        <v>0</v>
      </c>
      <c r="H117" s="13">
        <f t="shared" si="18"/>
        <v>0</v>
      </c>
    </row>
    <row r="118" spans="1:8" x14ac:dyDescent="0.35">
      <c r="A118" s="5" t="s">
        <v>48</v>
      </c>
      <c r="B118" s="151">
        <f>IF('Client Load Sheet'!C110&gt;0,'Client Load Sheet'!C110,VLOOKUP(A118,Table68[],2,FALSE))</f>
        <v>50</v>
      </c>
      <c r="C118" s="13">
        <f>'Client Load Sheet'!B110</f>
        <v>0</v>
      </c>
      <c r="D118" s="13">
        <f>'Client Load Sheet'!E110</f>
        <v>0</v>
      </c>
      <c r="E118" s="13">
        <f>'Client Load Sheet'!F110</f>
        <v>0</v>
      </c>
      <c r="F118" s="14">
        <f>VLOOKUP(Table26[[#This Row],[IT EQUIPMENTS]],Table68[],3,FALSE)</f>
        <v>0</v>
      </c>
      <c r="G118" s="13">
        <f t="shared" si="17"/>
        <v>0</v>
      </c>
      <c r="H118" s="13">
        <f t="shared" si="18"/>
        <v>0</v>
      </c>
    </row>
    <row r="119" spans="1:8" x14ac:dyDescent="0.35">
      <c r="A119" s="5" t="s">
        <v>143</v>
      </c>
      <c r="B119" s="151">
        <f>IF('Client Load Sheet'!C111&gt;0,'Client Load Sheet'!C111,VLOOKUP(A119,Table68[],2,FALSE))</f>
        <v>150</v>
      </c>
      <c r="C119" s="13">
        <f>'Client Load Sheet'!B111</f>
        <v>0</v>
      </c>
      <c r="D119" s="13">
        <f>'Client Load Sheet'!E111</f>
        <v>0</v>
      </c>
      <c r="E119" s="13">
        <f>'Client Load Sheet'!F111</f>
        <v>0</v>
      </c>
      <c r="F119" s="14">
        <f>VLOOKUP(Table26[[#This Row],[IT EQUIPMENTS]],Table68[],3,FALSE)</f>
        <v>0</v>
      </c>
      <c r="G119" s="13">
        <f t="shared" si="17"/>
        <v>0</v>
      </c>
      <c r="H119" s="13">
        <f t="shared" si="18"/>
        <v>0</v>
      </c>
    </row>
    <row r="120" spans="1:8" x14ac:dyDescent="0.35">
      <c r="A120" s="5" t="s">
        <v>144</v>
      </c>
      <c r="B120" s="151">
        <f>IF('Client Load Sheet'!C112&gt;0,'Client Load Sheet'!C112,VLOOKUP(A120,Table68[],2,FALSE))</f>
        <v>295</v>
      </c>
      <c r="C120" s="13">
        <f>'Client Load Sheet'!B112</f>
        <v>0</v>
      </c>
      <c r="D120" s="13">
        <f>'Client Load Sheet'!E112</f>
        <v>0</v>
      </c>
      <c r="E120" s="13">
        <f>'Client Load Sheet'!F112</f>
        <v>0</v>
      </c>
      <c r="F120" s="14">
        <f>VLOOKUP(Table26[[#This Row],[IT EQUIPMENTS]],Table68[],3,FALSE)</f>
        <v>0</v>
      </c>
      <c r="G120" s="13">
        <f t="shared" si="17"/>
        <v>0</v>
      </c>
      <c r="H120" s="13">
        <f t="shared" si="18"/>
        <v>0</v>
      </c>
    </row>
    <row r="121" spans="1:8" x14ac:dyDescent="0.35">
      <c r="A121" s="5" t="s">
        <v>145</v>
      </c>
      <c r="B121" s="151">
        <f>IF('Client Load Sheet'!C113&gt;0,'Client Load Sheet'!C113,VLOOKUP(A121,Table68[],2,FALSE))</f>
        <v>375</v>
      </c>
      <c r="C121" s="13">
        <f>'Client Load Sheet'!B113</f>
        <v>0</v>
      </c>
      <c r="D121" s="13">
        <f>'Client Load Sheet'!E113</f>
        <v>0</v>
      </c>
      <c r="E121" s="13">
        <f>'Client Load Sheet'!F113</f>
        <v>0</v>
      </c>
      <c r="F121" s="14">
        <f>VLOOKUP(Table26[[#This Row],[IT EQUIPMENTS]],Table68[],3,FALSE)</f>
        <v>0</v>
      </c>
      <c r="G121" s="13">
        <f t="shared" si="17"/>
        <v>0</v>
      </c>
      <c r="H121" s="13">
        <f t="shared" si="18"/>
        <v>0</v>
      </c>
    </row>
    <row r="122" spans="1:8" x14ac:dyDescent="0.35">
      <c r="A122" s="5" t="s">
        <v>52</v>
      </c>
      <c r="B122" s="151">
        <f>IF('Client Load Sheet'!C114&gt;0,'Client Load Sheet'!C114,VLOOKUP(A122,Table68[],2,FALSE))</f>
        <v>5</v>
      </c>
      <c r="C122" s="13">
        <f>'Client Load Sheet'!B114</f>
        <v>0</v>
      </c>
      <c r="D122" s="13">
        <f>'Client Load Sheet'!E114</f>
        <v>0</v>
      </c>
      <c r="E122" s="13">
        <f>'Client Load Sheet'!F114</f>
        <v>0</v>
      </c>
      <c r="F122" s="14">
        <f>VLOOKUP(Table26[[#This Row],[IT EQUIPMENTS]],Table68[],3,FALSE)</f>
        <v>0</v>
      </c>
      <c r="G122" s="13">
        <f t="shared" si="17"/>
        <v>0</v>
      </c>
      <c r="H122" s="13">
        <f t="shared" si="18"/>
        <v>0</v>
      </c>
    </row>
    <row r="123" spans="1:8" x14ac:dyDescent="0.35">
      <c r="A123" s="5" t="s">
        <v>53</v>
      </c>
      <c r="B123" s="151">
        <f>IF('Client Load Sheet'!C115&gt;0,'Client Load Sheet'!C115,VLOOKUP(A123,Table68[],2,FALSE))</f>
        <v>80</v>
      </c>
      <c r="C123" s="13">
        <f>'Client Load Sheet'!B115</f>
        <v>0</v>
      </c>
      <c r="D123" s="13">
        <f>'Client Load Sheet'!E115</f>
        <v>0</v>
      </c>
      <c r="E123" s="13">
        <f>'Client Load Sheet'!F115</f>
        <v>0</v>
      </c>
      <c r="F123" s="14">
        <f>VLOOKUP(Table26[[#This Row],[IT EQUIPMENTS]],Table68[],3,FALSE)</f>
        <v>0</v>
      </c>
      <c r="G123" s="13">
        <f t="shared" si="17"/>
        <v>0</v>
      </c>
      <c r="H123" s="13">
        <f t="shared" si="18"/>
        <v>0</v>
      </c>
    </row>
    <row r="124" spans="1:8" x14ac:dyDescent="0.35">
      <c r="A124" s="5" t="s">
        <v>54</v>
      </c>
      <c r="B124" s="151">
        <f>IF('Client Load Sheet'!C116&gt;0,'Client Load Sheet'!C116,VLOOKUP(A124,Table68[],2,FALSE))</f>
        <v>10</v>
      </c>
      <c r="C124" s="13">
        <f>'Client Load Sheet'!B116</f>
        <v>0</v>
      </c>
      <c r="D124" s="13">
        <f>'Client Load Sheet'!E116</f>
        <v>0</v>
      </c>
      <c r="E124" s="13">
        <f>'Client Load Sheet'!F116</f>
        <v>0</v>
      </c>
      <c r="F124" s="14">
        <f>VLOOKUP(Table26[[#This Row],[IT EQUIPMENTS]],Table68[],3,FALSE)</f>
        <v>0</v>
      </c>
      <c r="G124" s="13">
        <f t="shared" si="17"/>
        <v>0</v>
      </c>
      <c r="H124" s="13">
        <f t="shared" si="18"/>
        <v>0</v>
      </c>
    </row>
    <row r="125" spans="1:8" x14ac:dyDescent="0.35">
      <c r="A125" s="5" t="s">
        <v>9</v>
      </c>
      <c r="B125" s="151">
        <f>IF('Client Load Sheet'!C117&gt;0,'Client Load Sheet'!C117,VLOOKUP(A125,Table68[],2,FALSE))</f>
        <v>0</v>
      </c>
      <c r="C125" s="13">
        <f>'Client Load Sheet'!B117</f>
        <v>0</v>
      </c>
      <c r="D125" s="13">
        <f>'Client Load Sheet'!E117</f>
        <v>0</v>
      </c>
      <c r="E125" s="13">
        <f>'Client Load Sheet'!F117</f>
        <v>0</v>
      </c>
      <c r="F125" s="14">
        <f>VLOOKUP(Table26[[#This Row],[IT EQUIPMENTS]],Table68[],3,FALSE)</f>
        <v>0</v>
      </c>
      <c r="G125" s="13">
        <f t="shared" si="17"/>
        <v>0</v>
      </c>
      <c r="H125" s="13">
        <f t="shared" si="18"/>
        <v>0</v>
      </c>
    </row>
    <row r="126" spans="1:8" ht="15" thickBot="1" x14ac:dyDescent="0.4">
      <c r="A126" s="166" t="s">
        <v>9</v>
      </c>
      <c r="B126" s="151">
        <f>IF('Client Load Sheet'!C118&gt;0,'Client Load Sheet'!C118,VLOOKUP(A126,Table68[],2,FALSE))</f>
        <v>0</v>
      </c>
      <c r="C126" s="128">
        <f>'Client Load Sheet'!B118</f>
        <v>0</v>
      </c>
      <c r="D126" s="128">
        <f>'Client Load Sheet'!E118</f>
        <v>0</v>
      </c>
      <c r="E126" s="128">
        <f>'Client Load Sheet'!F118</f>
        <v>0</v>
      </c>
      <c r="F126" s="129">
        <f>VLOOKUP(Table26[[#This Row],[IT EQUIPMENTS]],Table68[],3,FALSE)</f>
        <v>0</v>
      </c>
      <c r="G126" s="128">
        <f t="shared" si="17"/>
        <v>0</v>
      </c>
      <c r="H126" s="128">
        <f t="shared" si="18"/>
        <v>0</v>
      </c>
    </row>
    <row r="127" spans="1:8" ht="15" thickBot="1" x14ac:dyDescent="0.4">
      <c r="A127" s="167"/>
      <c r="B127" s="168"/>
      <c r="C127" s="168"/>
      <c r="D127" s="168"/>
      <c r="E127" s="168"/>
      <c r="F127" s="168"/>
      <c r="G127" s="169" t="s">
        <v>91</v>
      </c>
      <c r="H127" s="170">
        <f>SUM(Table26[Daily Total])</f>
        <v>0</v>
      </c>
    </row>
    <row r="128" spans="1:8" ht="15" thickBot="1" x14ac:dyDescent="0.4">
      <c r="A128" s="171" t="s">
        <v>156</v>
      </c>
      <c r="B128" s="172" t="s">
        <v>85</v>
      </c>
      <c r="C128" s="172" t="s">
        <v>0</v>
      </c>
      <c r="D128" s="172" t="s">
        <v>86</v>
      </c>
      <c r="E128" s="172" t="s">
        <v>1</v>
      </c>
      <c r="F128" s="172" t="s">
        <v>87</v>
      </c>
      <c r="G128" s="172" t="s">
        <v>88</v>
      </c>
      <c r="H128" s="173" t="s">
        <v>89</v>
      </c>
    </row>
    <row r="129" spans="1:8" x14ac:dyDescent="0.35">
      <c r="A129" s="72" t="s">
        <v>157</v>
      </c>
      <c r="B129" s="174">
        <f>IF('Client Load Sheet'!C120&gt;0,'Client Load Sheet'!C120,VLOOKUP(A129,Table1119[],2,FALSE))</f>
        <v>4</v>
      </c>
      <c r="C129" s="152">
        <f>'Client Load Sheet'!B120</f>
        <v>0</v>
      </c>
      <c r="D129" s="152">
        <f>'Client Load Sheet'!E120</f>
        <v>0</v>
      </c>
      <c r="E129" s="152">
        <f>'Client Load Sheet'!F120</f>
        <v>0</v>
      </c>
      <c r="F129" s="152">
        <f>VLOOKUP(Table2[[#This Row],[GENERAL APPLIANCES]],Table1119[],3,FALSE)</f>
        <v>0</v>
      </c>
      <c r="G129" s="152">
        <f t="shared" ref="G129:G147" si="19">B129*C129*D129*E129</f>
        <v>0</v>
      </c>
      <c r="H129" s="152">
        <f t="shared" ref="H129:H147" si="20">ROUNDUP(G129/7,0)</f>
        <v>0</v>
      </c>
    </row>
    <row r="130" spans="1:8" x14ac:dyDescent="0.35">
      <c r="A130" s="5" t="s">
        <v>55</v>
      </c>
      <c r="B130" s="174">
        <f>IF('Client Load Sheet'!C121&gt;0,'Client Load Sheet'!C121,VLOOKUP(A130,Table1119[],2,FALSE))</f>
        <v>5</v>
      </c>
      <c r="C130" s="19">
        <f>'Client Load Sheet'!B121</f>
        <v>0</v>
      </c>
      <c r="D130" s="19">
        <f>'Client Load Sheet'!E121</f>
        <v>0</v>
      </c>
      <c r="E130" s="19">
        <f>'Client Load Sheet'!F121</f>
        <v>0</v>
      </c>
      <c r="F130" s="19">
        <f>VLOOKUP(Table2[[#This Row],[GENERAL APPLIANCES]],Table1119[],3,FALSE)</f>
        <v>0</v>
      </c>
      <c r="G130" s="19">
        <f t="shared" si="19"/>
        <v>0</v>
      </c>
      <c r="H130" s="19">
        <f t="shared" si="20"/>
        <v>0</v>
      </c>
    </row>
    <row r="131" spans="1:8" x14ac:dyDescent="0.35">
      <c r="A131" s="5" t="s">
        <v>158</v>
      </c>
      <c r="B131" s="174">
        <f>IF('Client Load Sheet'!C122&gt;0,'Client Load Sheet'!C122,VLOOKUP(A131,Table1119[],2,FALSE))</f>
        <v>2</v>
      </c>
      <c r="C131" s="19">
        <f>'Client Load Sheet'!B122</f>
        <v>0</v>
      </c>
      <c r="D131" s="19">
        <f>'Client Load Sheet'!E122</f>
        <v>0</v>
      </c>
      <c r="E131" s="19">
        <f>'Client Load Sheet'!F122</f>
        <v>0</v>
      </c>
      <c r="F131" s="20">
        <f>VLOOKUP(Table2[[#This Row],[GENERAL APPLIANCES]],Table1119[],3,FALSE)</f>
        <v>0</v>
      </c>
      <c r="G131" s="19">
        <f t="shared" si="19"/>
        <v>0</v>
      </c>
      <c r="H131" s="19">
        <f t="shared" si="20"/>
        <v>0</v>
      </c>
    </row>
    <row r="132" spans="1:8" x14ac:dyDescent="0.35">
      <c r="A132" s="5" t="s">
        <v>159</v>
      </c>
      <c r="B132" s="174">
        <f>IF('Client Load Sheet'!C123&gt;0,'Client Load Sheet'!C123,VLOOKUP(A132,Table1119[],2,FALSE))</f>
        <v>100</v>
      </c>
      <c r="C132" s="19">
        <f>'Client Load Sheet'!B123</f>
        <v>0</v>
      </c>
      <c r="D132" s="19">
        <f>'Client Load Sheet'!E123</f>
        <v>0</v>
      </c>
      <c r="E132" s="19">
        <f>'Client Load Sheet'!F123</f>
        <v>0</v>
      </c>
      <c r="F132" s="20">
        <f>VLOOKUP(Table2[[#This Row],[GENERAL APPLIANCES]],Table1119[],3,FALSE)</f>
        <v>0</v>
      </c>
      <c r="G132" s="19">
        <f t="shared" si="19"/>
        <v>0</v>
      </c>
      <c r="H132" s="19">
        <f t="shared" si="20"/>
        <v>0</v>
      </c>
    </row>
    <row r="133" spans="1:8" x14ac:dyDescent="0.35">
      <c r="A133" s="5" t="s">
        <v>160</v>
      </c>
      <c r="B133" s="174">
        <f>IF('Client Load Sheet'!C124&gt;0,'Client Load Sheet'!C124,VLOOKUP(A133,Table1119[],2,FALSE))</f>
        <v>15</v>
      </c>
      <c r="C133" s="19">
        <f>'Client Load Sheet'!B124</f>
        <v>0</v>
      </c>
      <c r="D133" s="19">
        <f>'Client Load Sheet'!E124</f>
        <v>0</v>
      </c>
      <c r="E133" s="19">
        <f>'Client Load Sheet'!F124</f>
        <v>0</v>
      </c>
      <c r="F133" s="20">
        <f>VLOOKUP(Table2[[#This Row],[GENERAL APPLIANCES]],Table1119[],3,FALSE)</f>
        <v>0</v>
      </c>
      <c r="G133" s="19">
        <f t="shared" si="19"/>
        <v>0</v>
      </c>
      <c r="H133" s="19">
        <f t="shared" si="20"/>
        <v>0</v>
      </c>
    </row>
    <row r="134" spans="1:8" x14ac:dyDescent="0.35">
      <c r="A134" s="5" t="s">
        <v>161</v>
      </c>
      <c r="B134" s="174">
        <f>IF('Client Load Sheet'!C125&gt;0,'Client Load Sheet'!C125,VLOOKUP(A134,Table1119[],2,FALSE))</f>
        <v>13</v>
      </c>
      <c r="C134" s="19">
        <f>'Client Load Sheet'!B125</f>
        <v>0</v>
      </c>
      <c r="D134" s="19">
        <f>'Client Load Sheet'!E125</f>
        <v>0</v>
      </c>
      <c r="E134" s="19">
        <f>'Client Load Sheet'!F125</f>
        <v>0</v>
      </c>
      <c r="F134" s="20">
        <f>VLOOKUP(Table2[[#This Row],[GENERAL APPLIANCES]],Table1119[],3,FALSE)</f>
        <v>0</v>
      </c>
      <c r="G134" s="19">
        <f t="shared" si="19"/>
        <v>0</v>
      </c>
      <c r="H134" s="19">
        <f t="shared" si="20"/>
        <v>0</v>
      </c>
    </row>
    <row r="135" spans="1:8" x14ac:dyDescent="0.35">
      <c r="A135" s="5" t="s">
        <v>162</v>
      </c>
      <c r="B135" s="174">
        <f>IF('Client Load Sheet'!C126&gt;0,'Client Load Sheet'!C126,VLOOKUP(A135,Table1119[],2,FALSE))</f>
        <v>800</v>
      </c>
      <c r="C135" s="19">
        <f>'Client Load Sheet'!B126</f>
        <v>0</v>
      </c>
      <c r="D135" s="19">
        <f>'Client Load Sheet'!E126</f>
        <v>0</v>
      </c>
      <c r="E135" s="19">
        <f>'Client Load Sheet'!F126</f>
        <v>0</v>
      </c>
      <c r="F135" s="20">
        <f>VLOOKUP(Table2[[#This Row],[GENERAL APPLIANCES]],Table1119[],3,FALSE)</f>
        <v>0</v>
      </c>
      <c r="G135" s="19">
        <f t="shared" si="19"/>
        <v>0</v>
      </c>
      <c r="H135" s="19">
        <f t="shared" si="20"/>
        <v>0</v>
      </c>
    </row>
    <row r="136" spans="1:8" x14ac:dyDescent="0.35">
      <c r="A136" s="5" t="s">
        <v>163</v>
      </c>
      <c r="B136" s="174">
        <f>IF('Client Load Sheet'!C127&gt;0,'Client Load Sheet'!C127,VLOOKUP(A136,Table1119[],2,FALSE))</f>
        <v>500</v>
      </c>
      <c r="C136" s="19">
        <f>'Client Load Sheet'!B127</f>
        <v>0</v>
      </c>
      <c r="D136" s="19">
        <f>'Client Load Sheet'!E127</f>
        <v>0</v>
      </c>
      <c r="E136" s="19">
        <f>'Client Load Sheet'!F127</f>
        <v>0</v>
      </c>
      <c r="F136" s="20">
        <f>VLOOKUP(Table2[[#This Row],[GENERAL APPLIANCES]],Table1119[],3,FALSE)</f>
        <v>2000</v>
      </c>
      <c r="G136" s="19">
        <f t="shared" si="19"/>
        <v>0</v>
      </c>
      <c r="H136" s="19">
        <f t="shared" si="20"/>
        <v>0</v>
      </c>
    </row>
    <row r="137" spans="1:8" x14ac:dyDescent="0.35">
      <c r="A137" s="5" t="s">
        <v>164</v>
      </c>
      <c r="B137" s="174">
        <f>IF('Client Load Sheet'!C128&gt;0,'Client Load Sheet'!C128,VLOOKUP(A137,Table1119[],2,FALSE))</f>
        <v>800</v>
      </c>
      <c r="C137" s="19">
        <f>'Client Load Sheet'!B128</f>
        <v>0</v>
      </c>
      <c r="D137" s="19">
        <f>'Client Load Sheet'!E128</f>
        <v>0</v>
      </c>
      <c r="E137" s="19">
        <f>'Client Load Sheet'!F128</f>
        <v>0</v>
      </c>
      <c r="F137" s="20">
        <f>VLOOKUP(Table2[[#This Row],[GENERAL APPLIANCES]],Table1119[],3,FALSE)</f>
        <v>2000</v>
      </c>
      <c r="G137" s="19">
        <f t="shared" si="19"/>
        <v>0</v>
      </c>
      <c r="H137" s="19">
        <f t="shared" si="20"/>
        <v>0</v>
      </c>
    </row>
    <row r="138" spans="1:8" x14ac:dyDescent="0.35">
      <c r="A138" s="5" t="s">
        <v>56</v>
      </c>
      <c r="B138" s="174">
        <f>IF('Client Load Sheet'!C129&gt;0,'Client Load Sheet'!C129,VLOOKUP(A138,Table1119[],2,FALSE))</f>
        <v>1600</v>
      </c>
      <c r="C138" s="19">
        <f>'Client Load Sheet'!B129</f>
        <v>0</v>
      </c>
      <c r="D138" s="19">
        <f>'Client Load Sheet'!E129</f>
        <v>0</v>
      </c>
      <c r="E138" s="19">
        <f>'Client Load Sheet'!F129</f>
        <v>0</v>
      </c>
      <c r="F138" s="20">
        <f>VLOOKUP(Table2[[#This Row],[GENERAL APPLIANCES]],Table1119[],3,FALSE)</f>
        <v>0</v>
      </c>
      <c r="G138" s="19">
        <f t="shared" si="19"/>
        <v>0</v>
      </c>
      <c r="H138" s="19">
        <f t="shared" si="20"/>
        <v>0</v>
      </c>
    </row>
    <row r="139" spans="1:8" x14ac:dyDescent="0.35">
      <c r="A139" s="5" t="s">
        <v>165</v>
      </c>
      <c r="B139" s="174">
        <f>IF('Client Load Sheet'!C130&gt;0,'Client Load Sheet'!C130,VLOOKUP(A139,Table1119[],2,FALSE))</f>
        <v>100</v>
      </c>
      <c r="C139" s="19">
        <f>'Client Load Sheet'!B130</f>
        <v>0</v>
      </c>
      <c r="D139" s="19">
        <f>'Client Load Sheet'!E130</f>
        <v>0</v>
      </c>
      <c r="E139" s="19">
        <f>'Client Load Sheet'!F130</f>
        <v>0</v>
      </c>
      <c r="F139" s="20">
        <f>VLOOKUP(Table2[[#This Row],[GENERAL APPLIANCES]],Table1119[],3,FALSE)</f>
        <v>0</v>
      </c>
      <c r="G139" s="19">
        <f t="shared" si="19"/>
        <v>0</v>
      </c>
      <c r="H139" s="19">
        <f t="shared" si="20"/>
        <v>0</v>
      </c>
    </row>
    <row r="140" spans="1:8" x14ac:dyDescent="0.35">
      <c r="A140" s="5" t="s">
        <v>166</v>
      </c>
      <c r="B140" s="174">
        <f>IF('Client Load Sheet'!C131&gt;0,'Client Load Sheet'!C131,VLOOKUP(A140,Table1119[],2,FALSE))</f>
        <v>2400</v>
      </c>
      <c r="C140" s="19">
        <f>'Client Load Sheet'!B131</f>
        <v>0</v>
      </c>
      <c r="D140" s="19">
        <f>'Client Load Sheet'!E131</f>
        <v>0</v>
      </c>
      <c r="E140" s="19">
        <f>'Client Load Sheet'!F131</f>
        <v>0</v>
      </c>
      <c r="F140" s="20">
        <f>VLOOKUP(Table2[[#This Row],[GENERAL APPLIANCES]],Table1119[],3,FALSE)</f>
        <v>0</v>
      </c>
      <c r="G140" s="19">
        <f t="shared" si="19"/>
        <v>0</v>
      </c>
      <c r="H140" s="19">
        <f t="shared" si="20"/>
        <v>0</v>
      </c>
    </row>
    <row r="141" spans="1:8" x14ac:dyDescent="0.35">
      <c r="A141" s="5" t="s">
        <v>167</v>
      </c>
      <c r="B141" s="174">
        <f>IF('Client Load Sheet'!C132&gt;0,'Client Load Sheet'!C132,VLOOKUP(A141,Table1119[],2,FALSE))</f>
        <v>1200</v>
      </c>
      <c r="C141" s="19">
        <f>'Client Load Sheet'!B132</f>
        <v>0</v>
      </c>
      <c r="D141" s="19">
        <f>'Client Load Sheet'!E132</f>
        <v>0</v>
      </c>
      <c r="E141" s="19">
        <f>'Client Load Sheet'!F132</f>
        <v>0</v>
      </c>
      <c r="F141" s="20">
        <f>VLOOKUP(Table2[[#This Row],[GENERAL APPLIANCES]],Table1119[],3,FALSE)</f>
        <v>0</v>
      </c>
      <c r="G141" s="19">
        <f t="shared" si="19"/>
        <v>0</v>
      </c>
      <c r="H141" s="19">
        <f t="shared" si="20"/>
        <v>0</v>
      </c>
    </row>
    <row r="142" spans="1:8" x14ac:dyDescent="0.35">
      <c r="A142" s="5" t="s">
        <v>57</v>
      </c>
      <c r="B142" s="174">
        <f>IF('Client Load Sheet'!C133&gt;0,'Client Load Sheet'!C133,VLOOKUP(A142,Table1119[],2,FALSE))</f>
        <v>150</v>
      </c>
      <c r="C142" s="19">
        <f>'Client Load Sheet'!B133</f>
        <v>0</v>
      </c>
      <c r="D142" s="19">
        <f>'Client Load Sheet'!E133</f>
        <v>0</v>
      </c>
      <c r="E142" s="19">
        <f>'Client Load Sheet'!F133</f>
        <v>0</v>
      </c>
      <c r="F142" s="20">
        <f>VLOOKUP(Table2[[#This Row],[GENERAL APPLIANCES]],Table1119[],3,FALSE)</f>
        <v>0</v>
      </c>
      <c r="G142" s="19">
        <f t="shared" si="19"/>
        <v>0</v>
      </c>
      <c r="H142" s="19">
        <f t="shared" si="20"/>
        <v>0</v>
      </c>
    </row>
    <row r="143" spans="1:8" x14ac:dyDescent="0.35">
      <c r="A143" s="5" t="s">
        <v>168</v>
      </c>
      <c r="B143" s="174">
        <f>IF('Client Load Sheet'!C134&gt;0,'Client Load Sheet'!C134,VLOOKUP(A143,Table1119[],2,FALSE))</f>
        <v>120</v>
      </c>
      <c r="C143" s="19">
        <f>'Client Load Sheet'!B134</f>
        <v>0</v>
      </c>
      <c r="D143" s="19">
        <f>'Client Load Sheet'!E134</f>
        <v>0</v>
      </c>
      <c r="E143" s="19">
        <f>'Client Load Sheet'!F134</f>
        <v>0</v>
      </c>
      <c r="F143" s="20">
        <f>VLOOKUP(Table2[[#This Row],[GENERAL APPLIANCES]],Table1119[],3,FALSE)</f>
        <v>0</v>
      </c>
      <c r="G143" s="19">
        <f t="shared" si="19"/>
        <v>0</v>
      </c>
      <c r="H143" s="19">
        <f t="shared" si="20"/>
        <v>0</v>
      </c>
    </row>
    <row r="144" spans="1:8" x14ac:dyDescent="0.35">
      <c r="A144" s="5" t="s">
        <v>58</v>
      </c>
      <c r="B144" s="174">
        <f>IF('Client Load Sheet'!C135&gt;0,'Client Load Sheet'!C135,VLOOKUP(A144,Table1119[],2,FALSE))</f>
        <v>800</v>
      </c>
      <c r="C144" s="19">
        <f>'Client Load Sheet'!B135</f>
        <v>0</v>
      </c>
      <c r="D144" s="19">
        <f>'Client Load Sheet'!E135</f>
        <v>0</v>
      </c>
      <c r="E144" s="19">
        <f>'Client Load Sheet'!F135</f>
        <v>0</v>
      </c>
      <c r="F144" s="20">
        <f>VLOOKUP(Table2[[#This Row],[GENERAL APPLIANCES]],Table1119[],3,FALSE)</f>
        <v>2000</v>
      </c>
      <c r="G144" s="19">
        <f t="shared" si="19"/>
        <v>0</v>
      </c>
      <c r="H144" s="19">
        <f t="shared" si="20"/>
        <v>0</v>
      </c>
    </row>
    <row r="145" spans="1:8" x14ac:dyDescent="0.35">
      <c r="A145" s="5" t="s">
        <v>169</v>
      </c>
      <c r="B145" s="174">
        <f>IF('Client Load Sheet'!C136&gt;0,'Client Load Sheet'!C136,VLOOKUP(A145,Table1119[],2,FALSE))</f>
        <v>2000</v>
      </c>
      <c r="C145" s="19">
        <f>'Client Load Sheet'!B136</f>
        <v>0</v>
      </c>
      <c r="D145" s="19">
        <f>'Client Load Sheet'!E136</f>
        <v>0</v>
      </c>
      <c r="E145" s="19">
        <f>'Client Load Sheet'!F136</f>
        <v>0</v>
      </c>
      <c r="F145" s="20">
        <f>VLOOKUP(Table2[[#This Row],[GENERAL APPLIANCES]],Table1119[],3,FALSE)</f>
        <v>3500</v>
      </c>
      <c r="G145" s="19">
        <f t="shared" si="19"/>
        <v>0</v>
      </c>
      <c r="H145" s="19">
        <f t="shared" si="20"/>
        <v>0</v>
      </c>
    </row>
    <row r="146" spans="1:8" x14ac:dyDescent="0.35">
      <c r="A146" s="5" t="s">
        <v>9</v>
      </c>
      <c r="B146" s="174">
        <f>IF('Client Load Sheet'!C137&gt;0,'Client Load Sheet'!C137,VLOOKUP(A146,Table1119[],2,FALSE))</f>
        <v>0</v>
      </c>
      <c r="C146" s="19">
        <f>'Client Load Sheet'!B137</f>
        <v>0</v>
      </c>
      <c r="D146" s="19">
        <f>'Client Load Sheet'!E137</f>
        <v>0</v>
      </c>
      <c r="E146" s="19">
        <f>'Client Load Sheet'!F137</f>
        <v>0</v>
      </c>
      <c r="F146" s="20">
        <f>VLOOKUP(Table2[[#This Row],[GENERAL APPLIANCES]],Table1119[],3,FALSE)</f>
        <v>0</v>
      </c>
      <c r="G146" s="19">
        <f t="shared" si="19"/>
        <v>0</v>
      </c>
      <c r="H146" s="19">
        <f t="shared" si="20"/>
        <v>0</v>
      </c>
    </row>
    <row r="147" spans="1:8" ht="15" thickBot="1" x14ac:dyDescent="0.4">
      <c r="A147" s="166" t="s">
        <v>9</v>
      </c>
      <c r="B147" s="174">
        <f>IF('Client Load Sheet'!C138&gt;0,'Client Load Sheet'!C138,VLOOKUP(A147,Table1119[],2,FALSE))</f>
        <v>0</v>
      </c>
      <c r="C147" s="157">
        <f>'Client Load Sheet'!B138</f>
        <v>0</v>
      </c>
      <c r="D147" s="157">
        <f>'Client Load Sheet'!E138</f>
        <v>0</v>
      </c>
      <c r="E147" s="157">
        <f>'Client Load Sheet'!F138</f>
        <v>0</v>
      </c>
      <c r="F147" s="157">
        <f>VLOOKUP(Table2[[#This Row],[GENERAL APPLIANCES]],Table1119[],3,FALSE)</f>
        <v>0</v>
      </c>
      <c r="G147" s="157">
        <f t="shared" si="19"/>
        <v>0</v>
      </c>
      <c r="H147" s="157">
        <f t="shared" si="20"/>
        <v>0</v>
      </c>
    </row>
    <row r="148" spans="1:8" ht="15" thickBot="1" x14ac:dyDescent="0.4">
      <c r="A148" s="175"/>
      <c r="B148" s="176"/>
      <c r="C148" s="176"/>
      <c r="D148" s="176"/>
      <c r="E148" s="176"/>
      <c r="F148" s="176"/>
      <c r="G148" s="176" t="s">
        <v>91</v>
      </c>
      <c r="H148" s="177">
        <f>SUM(Table2[Daily Total])</f>
        <v>0</v>
      </c>
    </row>
    <row r="149" spans="1:8" ht="15" thickBot="1" x14ac:dyDescent="0.4">
      <c r="A149" s="178" t="s">
        <v>239</v>
      </c>
      <c r="B149" s="179" t="s">
        <v>85</v>
      </c>
      <c r="C149" s="179" t="s">
        <v>0</v>
      </c>
      <c r="D149" s="179" t="s">
        <v>86</v>
      </c>
      <c r="E149" s="179" t="s">
        <v>1</v>
      </c>
      <c r="F149" s="179" t="s">
        <v>87</v>
      </c>
      <c r="G149" s="179" t="s">
        <v>88</v>
      </c>
      <c r="H149" s="180" t="s">
        <v>89</v>
      </c>
    </row>
    <row r="150" spans="1:8" x14ac:dyDescent="0.35">
      <c r="A150" s="9" t="s">
        <v>59</v>
      </c>
      <c r="B150" s="152">
        <f>IF('Client Load Sheet'!C140&gt;0,'Client Load Sheet'!C140,VLOOKUP(A150,Table32[],2,FALSE))</f>
        <v>2500</v>
      </c>
      <c r="C150" s="130">
        <f>'Client Load Sheet'!B140</f>
        <v>0</v>
      </c>
      <c r="D150" s="130">
        <f>'Client Load Sheet'!E140</f>
        <v>0</v>
      </c>
      <c r="E150" s="130">
        <f>'Client Load Sheet'!F140</f>
        <v>0</v>
      </c>
      <c r="F150" s="152">
        <f>VLOOKUP(A150,Table32[],3,FALSE)</f>
        <v>5000</v>
      </c>
      <c r="G150" s="152">
        <f t="shared" ref="G150:G155" si="21">B150*C150*D150*E150</f>
        <v>0</v>
      </c>
      <c r="H150" s="152">
        <f t="shared" ref="H150:H155" si="22">ROUNDUP(G150/7,0)</f>
        <v>0</v>
      </c>
    </row>
    <row r="151" spans="1:8" x14ac:dyDescent="0.35">
      <c r="A151" s="7" t="s">
        <v>60</v>
      </c>
      <c r="B151" s="152">
        <f>IF('Client Load Sheet'!C141&gt;0,'Client Load Sheet'!C141,VLOOKUP(A151,Table32[],2,FALSE))</f>
        <v>2000</v>
      </c>
      <c r="C151" s="23">
        <f>'Client Load Sheet'!B141</f>
        <v>0</v>
      </c>
      <c r="D151" s="23">
        <f>'Client Load Sheet'!E141</f>
        <v>0</v>
      </c>
      <c r="E151" s="23">
        <f>'Client Load Sheet'!F141</f>
        <v>0</v>
      </c>
      <c r="F151" s="19">
        <f>VLOOKUP(A151,Table32[],3,FALSE)</f>
        <v>4000</v>
      </c>
      <c r="G151" s="19">
        <f t="shared" si="21"/>
        <v>0</v>
      </c>
      <c r="H151" s="19">
        <f t="shared" si="22"/>
        <v>0</v>
      </c>
    </row>
    <row r="152" spans="1:8" x14ac:dyDescent="0.35">
      <c r="A152" s="7" t="s">
        <v>61</v>
      </c>
      <c r="B152" s="152">
        <f>IF('Client Load Sheet'!C142&gt;0,'Client Load Sheet'!C142,VLOOKUP(A152,Table32[],2,FALSE))</f>
        <v>900</v>
      </c>
      <c r="C152" s="23">
        <f>'Client Load Sheet'!B142</f>
        <v>0</v>
      </c>
      <c r="D152" s="23">
        <f>'Client Load Sheet'!E142</f>
        <v>0</v>
      </c>
      <c r="E152" s="23">
        <f>'Client Load Sheet'!F142</f>
        <v>0</v>
      </c>
      <c r="F152" s="19">
        <f>VLOOKUP(A152,Table32[],3,FALSE)</f>
        <v>2000</v>
      </c>
      <c r="G152" s="19">
        <f t="shared" si="21"/>
        <v>0</v>
      </c>
      <c r="H152" s="19">
        <f t="shared" si="22"/>
        <v>0</v>
      </c>
    </row>
    <row r="153" spans="1:8" x14ac:dyDescent="0.35">
      <c r="A153" s="7" t="s">
        <v>62</v>
      </c>
      <c r="B153" s="152">
        <f>IF('Client Load Sheet'!C143&gt;0,'Client Load Sheet'!C143,VLOOKUP(A153,Table32[],2,FALSE))</f>
        <v>3750</v>
      </c>
      <c r="C153" s="23">
        <f>'Client Load Sheet'!B143</f>
        <v>0</v>
      </c>
      <c r="D153" s="23">
        <f>'Client Load Sheet'!E143</f>
        <v>0</v>
      </c>
      <c r="E153" s="23">
        <f>'Client Load Sheet'!F143</f>
        <v>0</v>
      </c>
      <c r="F153" s="19">
        <f>VLOOKUP(A153,Table32[],3,FALSE)</f>
        <v>7500</v>
      </c>
      <c r="G153" s="19">
        <f t="shared" si="21"/>
        <v>0</v>
      </c>
      <c r="H153" s="19">
        <f t="shared" si="22"/>
        <v>0</v>
      </c>
    </row>
    <row r="154" spans="1:8" x14ac:dyDescent="0.35">
      <c r="A154" s="7" t="s">
        <v>170</v>
      </c>
      <c r="B154" s="152">
        <f>IF('Client Load Sheet'!C144&gt;0,'Client Load Sheet'!C144,VLOOKUP(A154,Table32[],2,FALSE))</f>
        <v>50</v>
      </c>
      <c r="C154" s="23">
        <f>'Client Load Sheet'!B144</f>
        <v>0</v>
      </c>
      <c r="D154" s="23">
        <f>'Client Load Sheet'!E144</f>
        <v>0</v>
      </c>
      <c r="E154" s="23">
        <f>'Client Load Sheet'!F144</f>
        <v>0</v>
      </c>
      <c r="F154" s="19">
        <f>VLOOKUP(A154,Table32[],3,FALSE)</f>
        <v>0</v>
      </c>
      <c r="G154" s="19">
        <f t="shared" si="21"/>
        <v>0</v>
      </c>
      <c r="H154" s="19">
        <f t="shared" si="22"/>
        <v>0</v>
      </c>
    </row>
    <row r="155" spans="1:8" x14ac:dyDescent="0.35">
      <c r="A155" s="7" t="s">
        <v>63</v>
      </c>
      <c r="B155" s="152">
        <f>IF('Client Load Sheet'!C145&gt;0,'Client Load Sheet'!C145,VLOOKUP(A155,Table32[],2,FALSE))</f>
        <v>100</v>
      </c>
      <c r="C155" s="23">
        <f>'Client Load Sheet'!B145</f>
        <v>0</v>
      </c>
      <c r="D155" s="23">
        <f>'Client Load Sheet'!E145</f>
        <v>0</v>
      </c>
      <c r="E155" s="23">
        <f>'Client Load Sheet'!F145</f>
        <v>0</v>
      </c>
      <c r="F155" s="19">
        <f>VLOOKUP(A155,Table32[],3,FALSE)</f>
        <v>0</v>
      </c>
      <c r="G155" s="19">
        <f t="shared" si="21"/>
        <v>0</v>
      </c>
      <c r="H155" s="19">
        <f t="shared" si="22"/>
        <v>0</v>
      </c>
    </row>
    <row r="156" spans="1:8" x14ac:dyDescent="0.35">
      <c r="A156" s="7" t="s">
        <v>64</v>
      </c>
      <c r="B156" s="152">
        <f>IF('Client Load Sheet'!C146&gt;0,'Client Load Sheet'!C146,VLOOKUP(A156,Table32[],2,FALSE))</f>
        <v>500</v>
      </c>
      <c r="C156" s="23">
        <f>'Client Load Sheet'!B146</f>
        <v>0</v>
      </c>
      <c r="D156" s="23">
        <f>'Client Load Sheet'!E146</f>
        <v>0</v>
      </c>
      <c r="E156" s="23">
        <f>'Client Load Sheet'!F146</f>
        <v>0</v>
      </c>
      <c r="F156" s="19">
        <f>VLOOKUP(A156,Table32[],3,FALSE)</f>
        <v>1500</v>
      </c>
      <c r="G156" s="19">
        <f t="shared" ref="G156:G157" si="23">B156*C156*D156*E156</f>
        <v>0</v>
      </c>
      <c r="H156" s="19">
        <f t="shared" ref="H156:H157" si="24">ROUNDUP(G156/7,0)</f>
        <v>0</v>
      </c>
    </row>
    <row r="157" spans="1:8" ht="15" thickBot="1" x14ac:dyDescent="0.4">
      <c r="A157" s="8" t="s">
        <v>9</v>
      </c>
      <c r="B157" s="152">
        <f>IF('Client Load Sheet'!C147&gt;0,'Client Load Sheet'!C147,VLOOKUP(A157,Table32[],2,FALSE))</f>
        <v>0</v>
      </c>
      <c r="C157" s="156">
        <f>'Client Load Sheet'!B147</f>
        <v>0</v>
      </c>
      <c r="D157" s="156">
        <f>'Client Load Sheet'!E147</f>
        <v>0</v>
      </c>
      <c r="E157" s="156">
        <f>'Client Load Sheet'!F147</f>
        <v>0</v>
      </c>
      <c r="F157" s="157">
        <f>VLOOKUP(A157,Table32[],3,FALSE)</f>
        <v>0</v>
      </c>
      <c r="G157" s="157">
        <f t="shared" si="23"/>
        <v>0</v>
      </c>
      <c r="H157" s="157">
        <f t="shared" si="24"/>
        <v>0</v>
      </c>
    </row>
    <row r="158" spans="1:8" ht="15" thickBot="1" x14ac:dyDescent="0.4">
      <c r="A158" s="181"/>
      <c r="B158" s="182"/>
      <c r="C158" s="182"/>
      <c r="D158" s="182"/>
      <c r="E158" s="182"/>
      <c r="F158" s="182"/>
      <c r="G158" s="183" t="s">
        <v>91</v>
      </c>
      <c r="H158" s="184">
        <f>SUM(Table35[Daily Total])</f>
        <v>0</v>
      </c>
    </row>
    <row r="159" spans="1:8" ht="15" thickBot="1" x14ac:dyDescent="0.4">
      <c r="A159" s="185" t="s">
        <v>187</v>
      </c>
      <c r="B159" s="186" t="s">
        <v>85</v>
      </c>
      <c r="C159" s="186" t="s">
        <v>0</v>
      </c>
      <c r="D159" s="186" t="s">
        <v>86</v>
      </c>
      <c r="E159" s="186" t="s">
        <v>1</v>
      </c>
      <c r="F159" s="186" t="s">
        <v>87</v>
      </c>
      <c r="G159" s="186" t="s">
        <v>88</v>
      </c>
      <c r="H159" s="187" t="s">
        <v>89</v>
      </c>
    </row>
    <row r="160" spans="1:8" x14ac:dyDescent="0.35">
      <c r="A160" s="9" t="s">
        <v>65</v>
      </c>
      <c r="B160" s="152">
        <f>IF('Client Load Sheet'!C150&gt;0,'Client Load Sheet'!C150,VLOOKUP(A160,Table1321[],2,FALSE))</f>
        <v>2000</v>
      </c>
      <c r="C160" s="152">
        <f>'Client Load Sheet'!B150</f>
        <v>0</v>
      </c>
      <c r="D160" s="152">
        <f>'Client Load Sheet'!E150</f>
        <v>0</v>
      </c>
      <c r="E160" s="152">
        <f>'Client Load Sheet'!F150</f>
        <v>0</v>
      </c>
      <c r="F160" s="152">
        <f>VLOOKUP(Table29[[#This Row],[HEATING &amp; COOLING]],Table1321[],3,FALSE)</f>
        <v>3000</v>
      </c>
      <c r="G160" s="152">
        <f t="shared" ref="G160:G175" si="25">B160*C160*D160*E160</f>
        <v>0</v>
      </c>
      <c r="H160" s="152">
        <f>ROUNDUP(G160/7,0)</f>
        <v>0</v>
      </c>
    </row>
    <row r="161" spans="1:8" x14ac:dyDescent="0.35">
      <c r="A161" s="7" t="s">
        <v>66</v>
      </c>
      <c r="B161" s="152">
        <f>IF('Client Load Sheet'!C151&gt;0,'Client Load Sheet'!C151,VLOOKUP(A161,Table1321[],2,FALSE))</f>
        <v>4000</v>
      </c>
      <c r="C161" s="19">
        <f>'Client Load Sheet'!B151</f>
        <v>0</v>
      </c>
      <c r="D161" s="19">
        <f>'Client Load Sheet'!E151</f>
        <v>0</v>
      </c>
      <c r="E161" s="19">
        <f>'Client Load Sheet'!F151</f>
        <v>0</v>
      </c>
      <c r="F161" s="20">
        <f>VLOOKUP(Table29[[#This Row],[HEATING &amp; COOLING]],Table1321[],3,FALSE)</f>
        <v>4950</v>
      </c>
      <c r="G161" s="19">
        <f t="shared" si="25"/>
        <v>0</v>
      </c>
      <c r="H161" s="19">
        <f t="shared" ref="H161:H178" si="26">ROUNDUP(G161/7,0)</f>
        <v>0</v>
      </c>
    </row>
    <row r="162" spans="1:8" x14ac:dyDescent="0.35">
      <c r="A162" s="7" t="s">
        <v>67</v>
      </c>
      <c r="B162" s="152">
        <f>IF('Client Load Sheet'!C152&gt;0,'Client Load Sheet'!C152,VLOOKUP(A162,Table1321[],2,FALSE))</f>
        <v>15</v>
      </c>
      <c r="C162" s="19">
        <f>'Client Load Sheet'!B152</f>
        <v>0</v>
      </c>
      <c r="D162" s="19">
        <f>'Client Load Sheet'!E152</f>
        <v>0</v>
      </c>
      <c r="E162" s="19">
        <f>'Client Load Sheet'!F152</f>
        <v>0</v>
      </c>
      <c r="F162" s="20">
        <f>VLOOKUP(Table29[[#This Row],[HEATING &amp; COOLING]],Table1321[],3,FALSE)</f>
        <v>0</v>
      </c>
      <c r="G162" s="19">
        <f t="shared" si="25"/>
        <v>0</v>
      </c>
      <c r="H162" s="19">
        <f t="shared" si="26"/>
        <v>0</v>
      </c>
    </row>
    <row r="163" spans="1:8" x14ac:dyDescent="0.35">
      <c r="A163" s="7" t="s">
        <v>175</v>
      </c>
      <c r="B163" s="152">
        <f>IF('Client Load Sheet'!C153&gt;0,'Client Load Sheet'!C153,VLOOKUP(A163,Table1321[],2,FALSE))</f>
        <v>2000</v>
      </c>
      <c r="C163" s="19">
        <f>'Client Load Sheet'!B153</f>
        <v>0</v>
      </c>
      <c r="D163" s="19">
        <f>'Client Load Sheet'!E153</f>
        <v>0</v>
      </c>
      <c r="E163" s="19">
        <f>'Client Load Sheet'!F153</f>
        <v>0</v>
      </c>
      <c r="F163" s="20">
        <f>VLOOKUP(Table29[[#This Row],[HEATING &amp; COOLING]],Table1321[],3,FALSE)</f>
        <v>0</v>
      </c>
      <c r="G163" s="19">
        <f t="shared" si="25"/>
        <v>0</v>
      </c>
      <c r="H163" s="19">
        <f t="shared" si="26"/>
        <v>0</v>
      </c>
    </row>
    <row r="164" spans="1:8" x14ac:dyDescent="0.35">
      <c r="A164" s="7" t="s">
        <v>176</v>
      </c>
      <c r="B164" s="152">
        <f>IF('Client Load Sheet'!C154&gt;0,'Client Load Sheet'!C154,VLOOKUP(A164,Table1321[],2,FALSE))</f>
        <v>1000</v>
      </c>
      <c r="C164" s="19">
        <f>'Client Load Sheet'!B154</f>
        <v>0</v>
      </c>
      <c r="D164" s="19">
        <f>'Client Load Sheet'!E154</f>
        <v>0</v>
      </c>
      <c r="E164" s="19">
        <f>'Client Load Sheet'!F154</f>
        <v>0</v>
      </c>
      <c r="F164" s="20">
        <f>VLOOKUP(Table29[[#This Row],[HEATING &amp; COOLING]],Table1321[],3,FALSE)</f>
        <v>0</v>
      </c>
      <c r="G164" s="19">
        <f t="shared" si="25"/>
        <v>0</v>
      </c>
      <c r="H164" s="19">
        <f t="shared" si="26"/>
        <v>0</v>
      </c>
    </row>
    <row r="165" spans="1:8" x14ac:dyDescent="0.35">
      <c r="A165" s="11" t="s">
        <v>177</v>
      </c>
      <c r="B165" s="152">
        <f>IF('Client Load Sheet'!C155&gt;0,'Client Load Sheet'!C155,VLOOKUP(A165,Table1321[],2,FALSE))</f>
        <v>700</v>
      </c>
      <c r="C165" s="19">
        <f>'Client Load Sheet'!B155</f>
        <v>0</v>
      </c>
      <c r="D165" s="19">
        <f>'Client Load Sheet'!E155</f>
        <v>0</v>
      </c>
      <c r="E165" s="19">
        <f>'Client Load Sheet'!F155</f>
        <v>0</v>
      </c>
      <c r="F165" s="20">
        <f>VLOOKUP(Table29[[#This Row],[HEATING &amp; COOLING]],Table1321[],3,FALSE)</f>
        <v>0</v>
      </c>
      <c r="G165" s="19">
        <f t="shared" si="25"/>
        <v>0</v>
      </c>
      <c r="H165" s="19">
        <f t="shared" si="26"/>
        <v>0</v>
      </c>
    </row>
    <row r="166" spans="1:8" x14ac:dyDescent="0.35">
      <c r="A166" s="11" t="s">
        <v>178</v>
      </c>
      <c r="B166" s="152">
        <f>IF('Client Load Sheet'!C156&gt;0,'Client Load Sheet'!C156,VLOOKUP(A166,Table1321[],2,FALSE))</f>
        <v>320</v>
      </c>
      <c r="C166" s="19">
        <f>'Client Load Sheet'!B156</f>
        <v>0</v>
      </c>
      <c r="D166" s="19">
        <f>'Client Load Sheet'!E156</f>
        <v>0</v>
      </c>
      <c r="E166" s="19">
        <f>'Client Load Sheet'!F156</f>
        <v>0</v>
      </c>
      <c r="F166" s="20">
        <f>VLOOKUP(Table29[[#This Row],[HEATING &amp; COOLING]],Table1321[],3,FALSE)</f>
        <v>0</v>
      </c>
      <c r="G166" s="19">
        <f t="shared" si="25"/>
        <v>0</v>
      </c>
      <c r="H166" s="19">
        <f t="shared" si="26"/>
        <v>0</v>
      </c>
    </row>
    <row r="167" spans="1:8" x14ac:dyDescent="0.35">
      <c r="A167" s="11" t="s">
        <v>179</v>
      </c>
      <c r="B167" s="152">
        <f>IF('Client Load Sheet'!C157&gt;0,'Client Load Sheet'!C157,VLOOKUP(A167,Table1321[],2,FALSE))</f>
        <v>160</v>
      </c>
      <c r="C167" s="19">
        <f>'Client Load Sheet'!B157</f>
        <v>0</v>
      </c>
      <c r="D167" s="19">
        <f>'Client Load Sheet'!E157</f>
        <v>0</v>
      </c>
      <c r="E167" s="19">
        <f>'Client Load Sheet'!F157</f>
        <v>0</v>
      </c>
      <c r="F167" s="20">
        <f>VLOOKUP(Table29[[#This Row],[HEATING &amp; COOLING]],Table1321[],3,FALSE)</f>
        <v>0</v>
      </c>
      <c r="G167" s="19">
        <f t="shared" si="25"/>
        <v>0</v>
      </c>
      <c r="H167" s="19">
        <f t="shared" si="26"/>
        <v>0</v>
      </c>
    </row>
    <row r="168" spans="1:8" x14ac:dyDescent="0.35">
      <c r="A168" s="11" t="s">
        <v>180</v>
      </c>
      <c r="B168" s="152">
        <f>IF('Client Load Sheet'!C158&gt;0,'Client Load Sheet'!C158,VLOOKUP(A168,Table1321[],2,FALSE))</f>
        <v>800</v>
      </c>
      <c r="C168" s="19">
        <f>'Client Load Sheet'!B158</f>
        <v>0</v>
      </c>
      <c r="D168" s="19">
        <f>'Client Load Sheet'!E158</f>
        <v>0</v>
      </c>
      <c r="E168" s="19">
        <f>'Client Load Sheet'!F158</f>
        <v>0</v>
      </c>
      <c r="F168" s="20">
        <f>VLOOKUP(Table29[[#This Row],[HEATING &amp; COOLING]],Table1321[],3,FALSE)</f>
        <v>0</v>
      </c>
      <c r="G168" s="19">
        <f t="shared" si="25"/>
        <v>0</v>
      </c>
      <c r="H168" s="19">
        <f t="shared" si="26"/>
        <v>0</v>
      </c>
    </row>
    <row r="169" spans="1:8" x14ac:dyDescent="0.35">
      <c r="A169" s="11" t="s">
        <v>181</v>
      </c>
      <c r="B169" s="152">
        <f>IF('Client Load Sheet'!C159&gt;0,'Client Load Sheet'!C159,VLOOKUP(A169,Table1321[],2,FALSE))</f>
        <v>150</v>
      </c>
      <c r="C169" s="19">
        <f>'Client Load Sheet'!B159</f>
        <v>0</v>
      </c>
      <c r="D169" s="19">
        <f>'Client Load Sheet'!E159</f>
        <v>0</v>
      </c>
      <c r="E169" s="19">
        <f>'Client Load Sheet'!F159</f>
        <v>0</v>
      </c>
      <c r="F169" s="20">
        <f>VLOOKUP(Table29[[#This Row],[HEATING &amp; COOLING]],Table1321[],3,FALSE)</f>
        <v>0</v>
      </c>
      <c r="G169" s="19">
        <f t="shared" si="25"/>
        <v>0</v>
      </c>
      <c r="H169" s="19">
        <f t="shared" si="26"/>
        <v>0</v>
      </c>
    </row>
    <row r="170" spans="1:8" x14ac:dyDescent="0.35">
      <c r="A170" s="7" t="s">
        <v>182</v>
      </c>
      <c r="B170" s="152">
        <f>IF('Client Load Sheet'!C160&gt;0,'Client Load Sheet'!C160,VLOOKUP(A170,Table1321[],2,FALSE))</f>
        <v>75</v>
      </c>
      <c r="C170" s="19">
        <f>'Client Load Sheet'!B160</f>
        <v>0</v>
      </c>
      <c r="D170" s="19">
        <f>'Client Load Sheet'!E160</f>
        <v>0</v>
      </c>
      <c r="E170" s="19">
        <f>'Client Load Sheet'!F160</f>
        <v>0</v>
      </c>
      <c r="F170" s="20">
        <f>VLOOKUP(Table29[[#This Row],[HEATING &amp; COOLING]],Table1321[],3,FALSE)</f>
        <v>0</v>
      </c>
      <c r="G170" s="19">
        <f t="shared" si="25"/>
        <v>0</v>
      </c>
      <c r="H170" s="19">
        <f t="shared" si="26"/>
        <v>0</v>
      </c>
    </row>
    <row r="171" spans="1:8" x14ac:dyDescent="0.35">
      <c r="A171" s="7" t="s">
        <v>68</v>
      </c>
      <c r="B171" s="152">
        <f>IF('Client Load Sheet'!C161&gt;0,'Client Load Sheet'!C161,VLOOKUP(A171,Table1321[],2,FALSE))</f>
        <v>60</v>
      </c>
      <c r="C171" s="19">
        <f>'Client Load Sheet'!B161</f>
        <v>0</v>
      </c>
      <c r="D171" s="19">
        <f>'Client Load Sheet'!E161</f>
        <v>0</v>
      </c>
      <c r="E171" s="19">
        <f>'Client Load Sheet'!F161</f>
        <v>0</v>
      </c>
      <c r="F171" s="20">
        <f>VLOOKUP(Table29[[#This Row],[HEATING &amp; COOLING]],Table1321[],3,FALSE)</f>
        <v>0</v>
      </c>
      <c r="G171" s="19">
        <f t="shared" si="25"/>
        <v>0</v>
      </c>
      <c r="H171" s="19">
        <f t="shared" si="26"/>
        <v>0</v>
      </c>
    </row>
    <row r="172" spans="1:8" x14ac:dyDescent="0.35">
      <c r="A172" s="7" t="s">
        <v>183</v>
      </c>
      <c r="B172" s="152">
        <f>IF('Client Load Sheet'!C162&gt;0,'Client Load Sheet'!C162,VLOOKUP(A172,Table1321[],2,FALSE))</f>
        <v>50</v>
      </c>
      <c r="C172" s="19">
        <f>'Client Load Sheet'!B162</f>
        <v>0</v>
      </c>
      <c r="D172" s="19">
        <f>'Client Load Sheet'!E162</f>
        <v>0</v>
      </c>
      <c r="E172" s="19">
        <f>'Client Load Sheet'!F162</f>
        <v>0</v>
      </c>
      <c r="F172" s="20">
        <f>VLOOKUP(Table29[[#This Row],[HEATING &amp; COOLING]],Table1321[],3,FALSE)</f>
        <v>0</v>
      </c>
      <c r="G172" s="19">
        <f t="shared" si="25"/>
        <v>0</v>
      </c>
      <c r="H172" s="19">
        <f t="shared" si="26"/>
        <v>0</v>
      </c>
    </row>
    <row r="173" spans="1:8" x14ac:dyDescent="0.35">
      <c r="A173" s="7" t="s">
        <v>184</v>
      </c>
      <c r="B173" s="152">
        <f>IF('Client Load Sheet'!C163&gt;0,'Client Load Sheet'!C163,VLOOKUP(A173,Table1321[],2,FALSE))</f>
        <v>25</v>
      </c>
      <c r="C173" s="19">
        <f>'Client Load Sheet'!B163</f>
        <v>0</v>
      </c>
      <c r="D173" s="19">
        <f>'Client Load Sheet'!E163</f>
        <v>0</v>
      </c>
      <c r="E173" s="19">
        <f>'Client Load Sheet'!F163</f>
        <v>0</v>
      </c>
      <c r="F173" s="20">
        <f>VLOOKUP(Table29[[#This Row],[HEATING &amp; COOLING]],Table1321[],3,FALSE)</f>
        <v>0</v>
      </c>
      <c r="G173" s="19">
        <f t="shared" si="25"/>
        <v>0</v>
      </c>
      <c r="H173" s="19">
        <f t="shared" si="26"/>
        <v>0</v>
      </c>
    </row>
    <row r="174" spans="1:8" x14ac:dyDescent="0.35">
      <c r="A174" s="7" t="s">
        <v>185</v>
      </c>
      <c r="B174" s="152">
        <f>IF('Client Load Sheet'!C164&gt;0,'Client Load Sheet'!C164,VLOOKUP(A174,Table1321[],2,FALSE))</f>
        <v>2400</v>
      </c>
      <c r="C174" s="19">
        <f>'Client Load Sheet'!B164</f>
        <v>0</v>
      </c>
      <c r="D174" s="19">
        <f>'Client Load Sheet'!E164</f>
        <v>0</v>
      </c>
      <c r="E174" s="19">
        <f>'Client Load Sheet'!F164</f>
        <v>0</v>
      </c>
      <c r="F174" s="19">
        <f>VLOOKUP(Table29[[#This Row],[HEATING &amp; COOLING]],Table1321[],3,FALSE)</f>
        <v>0</v>
      </c>
      <c r="G174" s="21">
        <f t="shared" si="25"/>
        <v>0</v>
      </c>
      <c r="H174" s="19">
        <f t="shared" si="26"/>
        <v>0</v>
      </c>
    </row>
    <row r="175" spans="1:8" x14ac:dyDescent="0.35">
      <c r="A175" s="7" t="s">
        <v>186</v>
      </c>
      <c r="B175" s="152">
        <f>IF('Client Load Sheet'!C165&gt;0,'Client Load Sheet'!C165,VLOOKUP(A175,Table1321[],2,FALSE))</f>
        <v>1200</v>
      </c>
      <c r="C175" s="19">
        <f>'Client Load Sheet'!B165</f>
        <v>0</v>
      </c>
      <c r="D175" s="19">
        <f>'Client Load Sheet'!E165</f>
        <v>0</v>
      </c>
      <c r="E175" s="19">
        <f>'Client Load Sheet'!F165</f>
        <v>0</v>
      </c>
      <c r="F175" s="22">
        <f>VLOOKUP(Table29[[#This Row],[HEATING &amp; COOLING]],Table1321[],3,FALSE)</f>
        <v>0</v>
      </c>
      <c r="G175" s="21">
        <f t="shared" si="25"/>
        <v>0</v>
      </c>
      <c r="H175" s="19">
        <f t="shared" si="26"/>
        <v>0</v>
      </c>
    </row>
    <row r="176" spans="1:8" x14ac:dyDescent="0.35">
      <c r="A176" s="7" t="s">
        <v>69</v>
      </c>
      <c r="B176" s="152">
        <f>IF('Client Load Sheet'!C166&gt;0,'Client Load Sheet'!C166,VLOOKUP(A176,Table1321[],2,FALSE))</f>
        <v>800</v>
      </c>
      <c r="C176" s="19">
        <f>'Client Load Sheet'!B166</f>
        <v>0</v>
      </c>
      <c r="D176" s="19">
        <f>'Client Load Sheet'!E166</f>
        <v>0</v>
      </c>
      <c r="E176" s="19">
        <f>'Client Load Sheet'!F166</f>
        <v>0</v>
      </c>
      <c r="F176" s="20">
        <f>VLOOKUP(Table29[[#This Row],[HEATING &amp; COOLING]],Table1321[],3,FALSE)</f>
        <v>0</v>
      </c>
      <c r="G176" s="19">
        <f t="shared" ref="G176:G178" si="27">B176*C176*D176*E176</f>
        <v>0</v>
      </c>
      <c r="H176" s="19">
        <f t="shared" si="26"/>
        <v>0</v>
      </c>
    </row>
    <row r="177" spans="1:8" x14ac:dyDescent="0.35">
      <c r="A177" s="7" t="s">
        <v>70</v>
      </c>
      <c r="B177" s="152">
        <f>IF('Client Load Sheet'!C167&gt;0,'Client Load Sheet'!C167,VLOOKUP(A177,Table1321[],2,FALSE))</f>
        <v>3000</v>
      </c>
      <c r="C177" s="19">
        <f>'Client Load Sheet'!B167</f>
        <v>0</v>
      </c>
      <c r="D177" s="19">
        <f>'Client Load Sheet'!E167</f>
        <v>0</v>
      </c>
      <c r="E177" s="19">
        <f>'Client Load Sheet'!F167</f>
        <v>0</v>
      </c>
      <c r="F177" s="20">
        <f>VLOOKUP(Table29[[#This Row],[HEATING &amp; COOLING]],Table1321[],3,FALSE)</f>
        <v>0</v>
      </c>
      <c r="G177" s="19">
        <f t="shared" si="27"/>
        <v>0</v>
      </c>
      <c r="H177" s="19">
        <f t="shared" si="26"/>
        <v>0</v>
      </c>
    </row>
    <row r="178" spans="1:8" ht="15" thickBot="1" x14ac:dyDescent="0.4">
      <c r="A178" s="8" t="s">
        <v>9</v>
      </c>
      <c r="B178" s="152">
        <f>IF('Client Load Sheet'!C168&gt;0,'Client Load Sheet'!C168,VLOOKUP(A178,Table1321[],2,FALSE))</f>
        <v>0</v>
      </c>
      <c r="C178" s="157">
        <f>'Client Load Sheet'!B168</f>
        <v>0</v>
      </c>
      <c r="D178" s="157">
        <f>'Client Load Sheet'!E168</f>
        <v>0</v>
      </c>
      <c r="E178" s="157">
        <f>'Client Load Sheet'!F168</f>
        <v>0</v>
      </c>
      <c r="F178" s="188">
        <f>VLOOKUP(Table29[[#This Row],[HEATING &amp; COOLING]],Table1321[],3,FALSE)</f>
        <v>0</v>
      </c>
      <c r="G178" s="157">
        <f t="shared" si="27"/>
        <v>0</v>
      </c>
      <c r="H178" s="157">
        <f t="shared" si="26"/>
        <v>0</v>
      </c>
    </row>
    <row r="179" spans="1:8" ht="15" thickBot="1" x14ac:dyDescent="0.4">
      <c r="A179" s="189"/>
      <c r="B179" s="190"/>
      <c r="C179" s="190"/>
      <c r="D179" s="190"/>
      <c r="E179" s="190"/>
      <c r="F179" s="190"/>
      <c r="G179" s="190" t="s">
        <v>91</v>
      </c>
      <c r="H179" s="191">
        <f>SUM(Table29[Daily Total])</f>
        <v>0</v>
      </c>
    </row>
    <row r="180" spans="1:8" ht="15" thickBot="1" x14ac:dyDescent="0.4">
      <c r="A180" s="126" t="s">
        <v>188</v>
      </c>
      <c r="B180" s="228" t="s">
        <v>105</v>
      </c>
      <c r="C180" s="228" t="s">
        <v>0</v>
      </c>
      <c r="D180" s="228" t="s">
        <v>91</v>
      </c>
      <c r="E180" s="228" t="s">
        <v>106</v>
      </c>
      <c r="F180" s="228" t="s">
        <v>87</v>
      </c>
      <c r="G180" s="228" t="s">
        <v>107</v>
      </c>
      <c r="H180" s="229" t="s">
        <v>89</v>
      </c>
    </row>
    <row r="181" spans="1:8" x14ac:dyDescent="0.35">
      <c r="A181" s="218" t="s">
        <v>95</v>
      </c>
      <c r="B181" s="227">
        <f>VLOOKUP(A181,N47:P49,2,FALSE)</f>
        <v>320</v>
      </c>
      <c r="C181" s="225">
        <f>'Client Load Sheet'!B170</f>
        <v>0</v>
      </c>
      <c r="D181" s="225">
        <f t="shared" ref="D181:D187" si="28">B181*C181</f>
        <v>0</v>
      </c>
      <c r="E181" s="225"/>
      <c r="F181" s="225"/>
      <c r="G181" s="225"/>
      <c r="H181" s="225">
        <f t="shared" ref="H181:H187" si="29">ROUNDUP(D181/365*1000,0)</f>
        <v>0</v>
      </c>
    </row>
    <row r="182" spans="1:8" x14ac:dyDescent="0.35">
      <c r="A182" s="218" t="s">
        <v>95</v>
      </c>
      <c r="B182" s="224">
        <f>VLOOKUP(A182,N51:P53,2,FALSE)</f>
        <v>350</v>
      </c>
      <c r="C182" s="222">
        <f>'Client Load Sheet'!B171</f>
        <v>0</v>
      </c>
      <c r="D182" s="222">
        <f t="shared" si="28"/>
        <v>0</v>
      </c>
      <c r="E182" s="222"/>
      <c r="F182" s="222"/>
      <c r="G182" s="222"/>
      <c r="H182" s="222">
        <f t="shared" si="29"/>
        <v>0</v>
      </c>
    </row>
    <row r="183" spans="1:8" x14ac:dyDescent="0.35">
      <c r="A183" s="218" t="s">
        <v>96</v>
      </c>
      <c r="B183" s="224">
        <f>VLOOKUP(A183,N55:P57,2,FALSE)</f>
        <v>310</v>
      </c>
      <c r="C183" s="222">
        <f>'Client Load Sheet'!B172</f>
        <v>0</v>
      </c>
      <c r="D183" s="222">
        <f t="shared" si="28"/>
        <v>0</v>
      </c>
      <c r="E183" s="222"/>
      <c r="F183" s="222"/>
      <c r="G183" s="222"/>
      <c r="H183" s="222">
        <f t="shared" si="29"/>
        <v>0</v>
      </c>
    </row>
    <row r="184" spans="1:8" x14ac:dyDescent="0.35">
      <c r="A184" s="218" t="s">
        <v>95</v>
      </c>
      <c r="B184" s="224">
        <f>VLOOKUP(Table28[[#This Row],[FRIDGE/FREEZER]],N59:P61,2,FALSE)</f>
        <v>350</v>
      </c>
      <c r="C184" s="222">
        <f>'Client Load Sheet'!B173</f>
        <v>0</v>
      </c>
      <c r="D184" s="222">
        <f t="shared" si="28"/>
        <v>0</v>
      </c>
      <c r="E184" s="223"/>
      <c r="F184" s="222"/>
      <c r="G184" s="222"/>
      <c r="H184" s="222">
        <f t="shared" si="29"/>
        <v>0</v>
      </c>
    </row>
    <row r="185" spans="1:8" x14ac:dyDescent="0.35">
      <c r="A185" s="218" t="s">
        <v>192</v>
      </c>
      <c r="B185" s="224">
        <f>VLOOKUP(Table28[[#This Row],[FRIDGE/FREEZER]],N63:P64,2,FALSE)</f>
        <v>0</v>
      </c>
      <c r="C185" s="222">
        <f>'Client Load Sheet'!B174</f>
        <v>0</v>
      </c>
      <c r="D185" s="222">
        <f t="shared" si="28"/>
        <v>0</v>
      </c>
      <c r="E185" s="223"/>
      <c r="F185" s="222"/>
      <c r="G185" s="222"/>
      <c r="H185" s="222">
        <f t="shared" si="29"/>
        <v>0</v>
      </c>
    </row>
    <row r="186" spans="1:8" x14ac:dyDescent="0.35">
      <c r="A186" s="218" t="s">
        <v>9</v>
      </c>
      <c r="B186" s="224"/>
      <c r="C186" s="222">
        <f>'Client Load Sheet'!B175</f>
        <v>0</v>
      </c>
      <c r="D186" s="222">
        <f t="shared" si="28"/>
        <v>0</v>
      </c>
      <c r="E186" s="223"/>
      <c r="F186" s="222"/>
      <c r="G186" s="222"/>
      <c r="H186" s="222">
        <f t="shared" si="29"/>
        <v>0</v>
      </c>
    </row>
    <row r="187" spans="1:8" ht="15" thickBot="1" x14ac:dyDescent="0.4">
      <c r="A187" s="226" t="s">
        <v>9</v>
      </c>
      <c r="B187" s="224"/>
      <c r="C187" s="222">
        <f>'Client Load Sheet'!B176</f>
        <v>0</v>
      </c>
      <c r="D187" s="222">
        <f t="shared" si="28"/>
        <v>0</v>
      </c>
      <c r="E187" s="223"/>
      <c r="F187" s="222"/>
      <c r="G187" s="222"/>
      <c r="H187" s="222">
        <f t="shared" si="29"/>
        <v>0</v>
      </c>
    </row>
    <row r="188" spans="1:8" x14ac:dyDescent="0.35">
      <c r="A188" s="18"/>
      <c r="B188" s="18"/>
      <c r="C188" s="18"/>
      <c r="D188" s="18"/>
      <c r="E188" s="18"/>
      <c r="F188" s="18"/>
      <c r="G188" s="18" t="s">
        <v>91</v>
      </c>
      <c r="H188" s="221">
        <f>SUM('IPNZ Internal'!$H$181:$H$187)</f>
        <v>0</v>
      </c>
    </row>
    <row r="189" spans="1:8" ht="15" thickBot="1" x14ac:dyDescent="0.4">
      <c r="A189" s="24" t="s">
        <v>237</v>
      </c>
      <c r="B189" s="24" t="s">
        <v>85</v>
      </c>
      <c r="C189" s="24" t="s">
        <v>0</v>
      </c>
      <c r="D189" s="24" t="s">
        <v>86</v>
      </c>
      <c r="E189" s="24" t="s">
        <v>1</v>
      </c>
      <c r="F189" s="24" t="s">
        <v>87</v>
      </c>
      <c r="G189" s="24" t="s">
        <v>88</v>
      </c>
      <c r="H189" s="24" t="s">
        <v>89</v>
      </c>
    </row>
    <row r="190" spans="1:8" ht="15" thickBot="1" x14ac:dyDescent="0.4">
      <c r="A190" s="112" t="s">
        <v>74</v>
      </c>
      <c r="B190" s="23">
        <f>IF('Client Load Sheet'!C178&gt;0,'Client Load Sheet'!C178,VLOOKUP(A190,Table31[],2,FALSE))</f>
        <v>1400</v>
      </c>
      <c r="C190" s="23">
        <f>'Client Load Sheet'!B178</f>
        <v>0</v>
      </c>
      <c r="D190" s="23">
        <f>'Client Load Sheet'!E178</f>
        <v>0</v>
      </c>
      <c r="E190" s="23">
        <f>'Client Load Sheet'!F178</f>
        <v>0</v>
      </c>
      <c r="F190" s="23">
        <f>VLOOKUP(A190,Table31[],3,FALSE)</f>
        <v>2500</v>
      </c>
      <c r="G190" s="19">
        <f>B190*C190*D190*E190</f>
        <v>0</v>
      </c>
      <c r="H190" s="19">
        <f>ROUNDUP(G190/7,0)</f>
        <v>0</v>
      </c>
    </row>
    <row r="191" spans="1:8" ht="15" thickBot="1" x14ac:dyDescent="0.4">
      <c r="A191" s="113" t="s">
        <v>75</v>
      </c>
      <c r="B191" s="23">
        <f>IF('Client Load Sheet'!C179&gt;0,'Client Load Sheet'!C179,VLOOKUP(A191,Table31[],2,FALSE))</f>
        <v>600</v>
      </c>
      <c r="C191" s="23">
        <f>'Client Load Sheet'!B179</f>
        <v>0</v>
      </c>
      <c r="D191" s="23">
        <f>'Client Load Sheet'!E179</f>
        <v>0</v>
      </c>
      <c r="E191" s="23">
        <f>'Client Load Sheet'!F179</f>
        <v>0</v>
      </c>
      <c r="F191" s="23">
        <f>VLOOKUP(A191,Table31[],3,FALSE)</f>
        <v>0</v>
      </c>
      <c r="G191" s="19">
        <f t="shared" ref="G191" si="30">B191*C191*D191*E191</f>
        <v>0</v>
      </c>
      <c r="H191" s="19">
        <f t="shared" ref="H191" si="31">ROUNDUP(G191/7,0)</f>
        <v>0</v>
      </c>
    </row>
    <row r="192" spans="1:8" ht="15" thickBot="1" x14ac:dyDescent="0.4">
      <c r="A192" s="114" t="s">
        <v>76</v>
      </c>
      <c r="B192" s="23">
        <f>IF('Client Load Sheet'!C180&gt;0,'Client Load Sheet'!C180,VLOOKUP(A192,Table31[],2,FALSE))</f>
        <v>1200</v>
      </c>
      <c r="C192" s="23">
        <f>'Client Load Sheet'!B180</f>
        <v>0</v>
      </c>
      <c r="D192" s="23">
        <f>'Client Load Sheet'!E180</f>
        <v>0</v>
      </c>
      <c r="E192" s="23">
        <f>'Client Load Sheet'!F180</f>
        <v>0</v>
      </c>
      <c r="F192" s="23">
        <f>VLOOKUP(A192,Table31[],3,FALSE)</f>
        <v>0</v>
      </c>
      <c r="G192" s="19">
        <f>B192*C192*D192*E192</f>
        <v>0</v>
      </c>
      <c r="H192" s="19">
        <f>ROUNDUP(G192/7,0)</f>
        <v>0</v>
      </c>
    </row>
    <row r="193" spans="1:8" ht="15" thickBot="1" x14ac:dyDescent="0.4">
      <c r="A193" s="115" t="s">
        <v>40</v>
      </c>
      <c r="B193" s="23">
        <f>IF('Client Load Sheet'!C181&gt;0,'Client Load Sheet'!C181,VLOOKUP(A193,Table31[],2,FALSE))</f>
        <v>50</v>
      </c>
      <c r="C193" s="23">
        <f>'Client Load Sheet'!B181</f>
        <v>0</v>
      </c>
      <c r="D193" s="23">
        <f>'Client Load Sheet'!E181</f>
        <v>0</v>
      </c>
      <c r="E193" s="23">
        <f>'Client Load Sheet'!F181</f>
        <v>0</v>
      </c>
      <c r="F193" s="23">
        <f>VLOOKUP(A193,Table31[],3,FALSE)</f>
        <v>0</v>
      </c>
      <c r="G193" s="19">
        <f>B193*C193*D193*E193</f>
        <v>0</v>
      </c>
      <c r="H193" s="19">
        <f>ROUNDUP(G193/7,0)</f>
        <v>0</v>
      </c>
    </row>
    <row r="194" spans="1:8" ht="15" thickBot="1" x14ac:dyDescent="0.4">
      <c r="A194" s="114" t="s">
        <v>77</v>
      </c>
      <c r="B194" s="23">
        <f>IF('Client Load Sheet'!C182&gt;0,'Client Load Sheet'!C182,VLOOKUP(A194,Table31[],2,FALSE))</f>
        <v>1200</v>
      </c>
      <c r="C194" s="23">
        <f>'Client Load Sheet'!B182</f>
        <v>0</v>
      </c>
      <c r="D194" s="23">
        <f>'Client Load Sheet'!E182</f>
        <v>0</v>
      </c>
      <c r="E194" s="23">
        <f>'Client Load Sheet'!F182</f>
        <v>0</v>
      </c>
      <c r="F194" s="23">
        <f>VLOOKUP(A194,Table31[],3,FALSE)</f>
        <v>0</v>
      </c>
      <c r="G194" s="19">
        <f>B194*C194*D194*E194</f>
        <v>0</v>
      </c>
      <c r="H194" s="19">
        <f>ROUNDUP(G194/7,0)</f>
        <v>0</v>
      </c>
    </row>
    <row r="195" spans="1:8" ht="15" thickBot="1" x14ac:dyDescent="0.4">
      <c r="A195" s="113" t="s">
        <v>194</v>
      </c>
      <c r="B195" s="23">
        <f>IF('Client Load Sheet'!C183&gt;0,'Client Load Sheet'!C183,VLOOKUP(A195,Table31[],2,FALSE))</f>
        <v>1000</v>
      </c>
      <c r="C195" s="23">
        <f>'Client Load Sheet'!B183</f>
        <v>0</v>
      </c>
      <c r="D195" s="23">
        <f>'Client Load Sheet'!E183</f>
        <v>0</v>
      </c>
      <c r="E195" s="23">
        <f>'Client Load Sheet'!F183</f>
        <v>0</v>
      </c>
      <c r="F195" s="23">
        <f>VLOOKUP(A195,Table31[],3,FALSE)</f>
        <v>900</v>
      </c>
      <c r="G195" s="19">
        <f t="shared" ref="G195:G208" si="32">B195*C195*D195*E195</f>
        <v>0</v>
      </c>
      <c r="H195" s="19">
        <f t="shared" ref="H195:H208" si="33">ROUNDUP(G195/7,0)</f>
        <v>0</v>
      </c>
    </row>
    <row r="196" spans="1:8" ht="15" thickBot="1" x14ac:dyDescent="0.4">
      <c r="A196" s="114" t="s">
        <v>78</v>
      </c>
      <c r="B196" s="23">
        <f>IF('Client Load Sheet'!C184&gt;0,'Client Load Sheet'!C184,VLOOKUP(A196,Table31[],2,FALSE))</f>
        <v>2500</v>
      </c>
      <c r="C196" s="23">
        <f>'Client Load Sheet'!B184</f>
        <v>0</v>
      </c>
      <c r="D196" s="23">
        <f>'Client Load Sheet'!E184</f>
        <v>0</v>
      </c>
      <c r="E196" s="23">
        <f>'Client Load Sheet'!F184</f>
        <v>0</v>
      </c>
      <c r="F196" s="23">
        <f>VLOOKUP(A196,Table31[],3,FALSE)</f>
        <v>0</v>
      </c>
      <c r="G196" s="19">
        <f t="shared" si="32"/>
        <v>0</v>
      </c>
      <c r="H196" s="19">
        <f t="shared" si="33"/>
        <v>0</v>
      </c>
    </row>
    <row r="197" spans="1:8" ht="15" thickBot="1" x14ac:dyDescent="0.4">
      <c r="A197" s="113" t="s">
        <v>195</v>
      </c>
      <c r="B197" s="23">
        <f>IF('Client Load Sheet'!C185&gt;0,'Client Load Sheet'!C185,VLOOKUP(A197,Table31[],2,FALSE))</f>
        <v>1500</v>
      </c>
      <c r="C197" s="23">
        <f>'Client Load Sheet'!B185</f>
        <v>0</v>
      </c>
      <c r="D197" s="23">
        <f>'Client Load Sheet'!E185</f>
        <v>0</v>
      </c>
      <c r="E197" s="23">
        <f>'Client Load Sheet'!F185</f>
        <v>0</v>
      </c>
      <c r="F197" s="23">
        <f>VLOOKUP(A197,Table31[],3,FALSE)</f>
        <v>0</v>
      </c>
      <c r="G197" s="19">
        <f t="shared" si="32"/>
        <v>0</v>
      </c>
      <c r="H197" s="19">
        <f t="shared" si="33"/>
        <v>0</v>
      </c>
    </row>
    <row r="198" spans="1:8" ht="15" thickBot="1" x14ac:dyDescent="0.4">
      <c r="A198" s="114" t="s">
        <v>79</v>
      </c>
      <c r="B198" s="23">
        <f>IF('Client Load Sheet'!C186&gt;0,'Client Load Sheet'!C186,VLOOKUP(A198,Table31[],2,FALSE))</f>
        <v>9000</v>
      </c>
      <c r="C198" s="23">
        <f>'Client Load Sheet'!B186</f>
        <v>0</v>
      </c>
      <c r="D198" s="23">
        <f>'Client Load Sheet'!E186</f>
        <v>0</v>
      </c>
      <c r="E198" s="23">
        <f>'Client Load Sheet'!F186</f>
        <v>0</v>
      </c>
      <c r="F198" s="23">
        <f>VLOOKUP(A198,Table31[],3,FALSE)</f>
        <v>0</v>
      </c>
      <c r="G198" s="19">
        <f t="shared" si="32"/>
        <v>0</v>
      </c>
      <c r="H198" s="19">
        <f t="shared" si="33"/>
        <v>0</v>
      </c>
    </row>
    <row r="199" spans="1:8" ht="15" thickBot="1" x14ac:dyDescent="0.4">
      <c r="A199" s="113" t="s">
        <v>196</v>
      </c>
      <c r="B199" s="23">
        <f>IF('Client Load Sheet'!C187&gt;0,'Client Load Sheet'!C187,VLOOKUP(A199,Table31[],2,FALSE))</f>
        <v>450</v>
      </c>
      <c r="C199" s="23">
        <f>'Client Load Sheet'!B187</f>
        <v>0</v>
      </c>
      <c r="D199" s="23">
        <f>'Client Load Sheet'!E187</f>
        <v>0</v>
      </c>
      <c r="E199" s="23">
        <f>'Client Load Sheet'!F187</f>
        <v>0</v>
      </c>
      <c r="F199" s="23">
        <f>VLOOKUP(A199,Table31[],3,FALSE)</f>
        <v>0</v>
      </c>
      <c r="G199" s="19">
        <f t="shared" si="32"/>
        <v>0</v>
      </c>
      <c r="H199" s="19">
        <f t="shared" si="33"/>
        <v>0</v>
      </c>
    </row>
    <row r="200" spans="1:8" ht="15" thickBot="1" x14ac:dyDescent="0.4">
      <c r="A200" s="114" t="s">
        <v>80</v>
      </c>
      <c r="B200" s="23">
        <f>IF('Client Load Sheet'!C188&gt;0,'Client Load Sheet'!C188,VLOOKUP(A200,Table31[],2,FALSE))</f>
        <v>1600</v>
      </c>
      <c r="C200" s="23">
        <f>'Client Load Sheet'!B188</f>
        <v>0</v>
      </c>
      <c r="D200" s="23">
        <f>'Client Load Sheet'!E188</f>
        <v>0</v>
      </c>
      <c r="E200" s="23">
        <f>'Client Load Sheet'!F188</f>
        <v>0</v>
      </c>
      <c r="F200" s="23">
        <f>VLOOKUP(A200,Table31[],3,FALSE)</f>
        <v>4500</v>
      </c>
      <c r="G200" s="19">
        <f t="shared" si="32"/>
        <v>0</v>
      </c>
      <c r="H200" s="19">
        <f t="shared" si="33"/>
        <v>0</v>
      </c>
    </row>
    <row r="201" spans="1:8" ht="15" thickBot="1" x14ac:dyDescent="0.4">
      <c r="A201" s="113" t="s">
        <v>81</v>
      </c>
      <c r="B201" s="23">
        <f>IF('Client Load Sheet'!C189&gt;0,'Client Load Sheet'!C189,VLOOKUP(A201,Table31[],2,FALSE))</f>
        <v>300</v>
      </c>
      <c r="C201" s="23">
        <f>'Client Load Sheet'!B189</f>
        <v>0</v>
      </c>
      <c r="D201" s="23">
        <f>'Client Load Sheet'!E189</f>
        <v>0</v>
      </c>
      <c r="E201" s="23">
        <f>'Client Load Sheet'!F189</f>
        <v>0</v>
      </c>
      <c r="F201" s="23">
        <f>VLOOKUP(A201,Table31[],3,FALSE)</f>
        <v>0</v>
      </c>
      <c r="G201" s="19">
        <f t="shared" si="32"/>
        <v>0</v>
      </c>
      <c r="H201" s="19">
        <f t="shared" si="33"/>
        <v>0</v>
      </c>
    </row>
    <row r="202" spans="1:8" ht="15" thickBot="1" x14ac:dyDescent="0.4">
      <c r="A202" s="114" t="s">
        <v>197</v>
      </c>
      <c r="B202" s="23">
        <f>IF('Client Load Sheet'!C190&gt;0,'Client Load Sheet'!C190,VLOOKUP(A202,Table31[],2,FALSE))</f>
        <v>1200</v>
      </c>
      <c r="C202" s="23">
        <f>'Client Load Sheet'!B190</f>
        <v>0</v>
      </c>
      <c r="D202" s="23">
        <f>'Client Load Sheet'!E190</f>
        <v>0</v>
      </c>
      <c r="E202" s="23">
        <f>'Client Load Sheet'!F190</f>
        <v>0</v>
      </c>
      <c r="F202" s="23">
        <f>VLOOKUP(A202,Table31[],3,FALSE)</f>
        <v>3600</v>
      </c>
      <c r="G202" s="19">
        <f t="shared" si="32"/>
        <v>0</v>
      </c>
      <c r="H202" s="19">
        <f t="shared" si="33"/>
        <v>0</v>
      </c>
    </row>
    <row r="203" spans="1:8" ht="15" thickBot="1" x14ac:dyDescent="0.4">
      <c r="A203" s="113" t="s">
        <v>82</v>
      </c>
      <c r="B203" s="23">
        <f>IF('Client Load Sheet'!C191&gt;0,'Client Load Sheet'!C191,VLOOKUP(A203,Table31[],2,FALSE))</f>
        <v>2000</v>
      </c>
      <c r="C203" s="23">
        <f>'Client Load Sheet'!B191</f>
        <v>0</v>
      </c>
      <c r="D203" s="23">
        <f>'Client Load Sheet'!E191</f>
        <v>0</v>
      </c>
      <c r="E203" s="23">
        <f>'Client Load Sheet'!F191</f>
        <v>0</v>
      </c>
      <c r="F203" s="23">
        <f>VLOOKUP(A203,Table31[],3,FALSE)</f>
        <v>2000</v>
      </c>
      <c r="G203" s="19">
        <f t="shared" si="32"/>
        <v>0</v>
      </c>
      <c r="H203" s="19">
        <f t="shared" si="33"/>
        <v>0</v>
      </c>
    </row>
    <row r="204" spans="1:8" ht="15" thickBot="1" x14ac:dyDescent="0.4">
      <c r="A204" s="114" t="s">
        <v>83</v>
      </c>
      <c r="B204" s="23">
        <f>IF('Client Load Sheet'!C192&gt;0,'Client Load Sheet'!C192,VLOOKUP(A204,Table31[],2,FALSE))</f>
        <v>1000</v>
      </c>
      <c r="C204" s="23">
        <f>'Client Load Sheet'!B192</f>
        <v>0</v>
      </c>
      <c r="D204" s="23">
        <f>'Client Load Sheet'!E192</f>
        <v>0</v>
      </c>
      <c r="E204" s="23">
        <f>'Client Load Sheet'!F192</f>
        <v>0</v>
      </c>
      <c r="F204" s="23">
        <f>VLOOKUP(A204,Table31[],3,FALSE)</f>
        <v>0</v>
      </c>
      <c r="G204" s="19">
        <f t="shared" si="32"/>
        <v>0</v>
      </c>
      <c r="H204" s="19">
        <f t="shared" si="33"/>
        <v>0</v>
      </c>
    </row>
    <row r="205" spans="1:8" x14ac:dyDescent="0.35">
      <c r="A205" s="113" t="s">
        <v>198</v>
      </c>
      <c r="B205" s="23">
        <f>IF('Client Load Sheet'!C193&gt;0,'Client Load Sheet'!C193,VLOOKUP(A205,Table31[],2,FALSE))</f>
        <v>1000</v>
      </c>
      <c r="C205" s="23">
        <f>'Client Load Sheet'!B193</f>
        <v>0</v>
      </c>
      <c r="D205" s="23">
        <f>'Client Load Sheet'!E193</f>
        <v>0</v>
      </c>
      <c r="E205" s="23">
        <f>'Client Load Sheet'!F193</f>
        <v>0</v>
      </c>
      <c r="F205" s="23">
        <f>VLOOKUP(A205,Table31[],3,FALSE)</f>
        <v>2300</v>
      </c>
      <c r="G205" s="19">
        <f t="shared" si="32"/>
        <v>0</v>
      </c>
      <c r="H205" s="19">
        <f t="shared" si="33"/>
        <v>0</v>
      </c>
    </row>
    <row r="206" spans="1:8" ht="15" thickBot="1" x14ac:dyDescent="0.4">
      <c r="A206" s="116" t="s">
        <v>199</v>
      </c>
      <c r="B206" s="23">
        <f>IF('Client Load Sheet'!C194&gt;0,'Client Load Sheet'!C194,VLOOKUP(A206,Table31[],2,FALSE))</f>
        <v>500</v>
      </c>
      <c r="C206" s="23">
        <f>'Client Load Sheet'!B194</f>
        <v>0</v>
      </c>
      <c r="D206" s="23">
        <f>'Client Load Sheet'!E194</f>
        <v>0</v>
      </c>
      <c r="E206" s="23">
        <f>'Client Load Sheet'!F194</f>
        <v>0</v>
      </c>
      <c r="F206" s="23">
        <f>VLOOKUP(A206,Table31[],3,FALSE)</f>
        <v>0</v>
      </c>
      <c r="G206" s="19">
        <f t="shared" si="32"/>
        <v>0</v>
      </c>
      <c r="H206" s="19">
        <f t="shared" si="33"/>
        <v>0</v>
      </c>
    </row>
    <row r="207" spans="1:8" ht="15" thickBot="1" x14ac:dyDescent="0.4">
      <c r="A207" s="113" t="s">
        <v>9</v>
      </c>
      <c r="B207" s="23">
        <f>IF('Client Load Sheet'!C195&gt;0,'Client Load Sheet'!C195,VLOOKUP(A207,Table31[],2,FALSE))</f>
        <v>0</v>
      </c>
      <c r="C207" s="23">
        <f>'Client Load Sheet'!B195</f>
        <v>0</v>
      </c>
      <c r="D207" s="23">
        <f>'Client Load Sheet'!E195</f>
        <v>0</v>
      </c>
      <c r="E207" s="23">
        <f>'Client Load Sheet'!F195</f>
        <v>0</v>
      </c>
      <c r="F207" s="23">
        <f>VLOOKUP(A207,Table31[],3,FALSE)</f>
        <v>0</v>
      </c>
      <c r="G207" s="19">
        <f t="shared" si="32"/>
        <v>0</v>
      </c>
      <c r="H207" s="19">
        <f t="shared" si="33"/>
        <v>0</v>
      </c>
    </row>
    <row r="208" spans="1:8" ht="15" thickBot="1" x14ac:dyDescent="0.4">
      <c r="A208" s="117" t="s">
        <v>9</v>
      </c>
      <c r="B208" s="23">
        <f>IF('Client Load Sheet'!C196&gt;0,'Client Load Sheet'!C196,VLOOKUP(A208,Table31[],2,FALSE))</f>
        <v>0</v>
      </c>
      <c r="C208" s="23">
        <f>'Client Load Sheet'!B196</f>
        <v>0</v>
      </c>
      <c r="D208" s="23">
        <f>'Client Load Sheet'!E196</f>
        <v>0</v>
      </c>
      <c r="E208" s="23">
        <f>'Client Load Sheet'!F196</f>
        <v>0</v>
      </c>
      <c r="F208" s="23">
        <f>VLOOKUP(A208,Table31[],3,FALSE)</f>
        <v>0</v>
      </c>
      <c r="G208" s="19">
        <f t="shared" si="32"/>
        <v>0</v>
      </c>
      <c r="H208" s="19">
        <f t="shared" si="33"/>
        <v>0</v>
      </c>
    </row>
    <row r="209" spans="1:8" x14ac:dyDescent="0.35">
      <c r="A209" s="25"/>
      <c r="B209" s="25"/>
      <c r="C209" s="25"/>
      <c r="D209" s="25"/>
      <c r="E209" s="25"/>
      <c r="F209" s="25"/>
      <c r="G209" s="26" t="s">
        <v>91</v>
      </c>
      <c r="H209" s="26">
        <f>SUM(Table36[Daily Total])</f>
        <v>0</v>
      </c>
    </row>
    <row r="210" spans="1:8" x14ac:dyDescent="0.35">
      <c r="A210" s="27"/>
      <c r="B210" s="27"/>
      <c r="C210" s="27"/>
      <c r="D210" s="27"/>
      <c r="E210" s="27"/>
      <c r="F210" s="27"/>
      <c r="G210" s="27" t="s">
        <v>104</v>
      </c>
      <c r="H210" s="27">
        <f>SUM(H24,H48,H57,H127,H95,H188,H148,H179,H107,H158,H209)</f>
        <v>0</v>
      </c>
    </row>
  </sheetData>
  <sheetProtection selectLockedCells="1"/>
  <dataValidations count="15">
    <dataValidation type="list" allowBlank="1" showInputMessage="1" showErrorMessage="1" sqref="A190:A208">
      <formula1>$T$11:$T$29</formula1>
    </dataValidation>
    <dataValidation type="list" allowBlank="1" showInputMessage="1" showErrorMessage="1" sqref="A109:A126 N16">
      <formula1>$N$11:$N$30</formula1>
    </dataValidation>
    <dataValidation type="list" allowBlank="1" showInputMessage="1" showErrorMessage="1" promptTitle="Freezer " prompt="Type" sqref="A182">
      <formula1>$N$51:$N$53</formula1>
    </dataValidation>
    <dataValidation type="list" allowBlank="1" showInputMessage="1" showErrorMessage="1" promptTitle="Fridge/Freezer" prompt="Type" sqref="A183">
      <formula1>$N$55:$N$57</formula1>
    </dataValidation>
    <dataValidation type="list" allowBlank="1" showInputMessage="1" showErrorMessage="1" promptTitle="Fridge " prompt="Type" sqref="A181">
      <formula1>$N$47:$N$49</formula1>
    </dataValidation>
    <dataValidation type="list" allowBlank="1" showInputMessage="1" showErrorMessage="1" sqref="A10:A23 K32:K44">
      <formula1>$K$32:$K$44</formula1>
    </dataValidation>
    <dataValidation type="list" allowBlank="1" showInputMessage="1" showErrorMessage="1" sqref="K11:K30 A26:A47">
      <formula1>$K$11:$K$30</formula1>
    </dataValidation>
    <dataValidation type="list" allowBlank="1" showInputMessage="1" showErrorMessage="1" sqref="A129:A147 K46:K63">
      <formula1>$K$46:$K$73</formula1>
    </dataValidation>
    <dataValidation type="list" allowBlank="1" showInputMessage="1" showErrorMessage="1" sqref="A150:A157">
      <formula1>$N$66:$N$73</formula1>
    </dataValidation>
    <dataValidation type="list" allowBlank="1" showInputMessage="1" showErrorMessage="1" sqref="A160:A178">
      <formula1>$Q$47:$Q$65</formula1>
    </dataValidation>
    <dataValidation type="list" allowBlank="1" showInputMessage="1" showErrorMessage="1" sqref="A97:A106 N32:N40">
      <formula1>$N$32:$N$44</formula1>
    </dataValidation>
    <dataValidation type="list" allowBlank="1" showInputMessage="1" showErrorMessage="1" promptTitle="Chest Freezer" prompt="Type" sqref="A184">
      <formula1>$N$59:$N$61</formula1>
    </dataValidation>
    <dataValidation type="list" allowBlank="1" showInputMessage="1" showErrorMessage="1" promptTitle="Wine Cooler" prompt="Type" sqref="A185">
      <formula1>$N$63:$N$64</formula1>
    </dataValidation>
    <dataValidation type="list" allowBlank="1" showInputMessage="1" showErrorMessage="1" sqref="A50:A56">
      <formula1>$K$67:$K$73</formula1>
    </dataValidation>
    <dataValidation type="list" allowBlank="1" showInputMessage="1" showErrorMessage="1" sqref="A59:A94">
      <formula1>$Q$11:$Q$45</formula1>
    </dataValidation>
  </dataValidations>
  <pageMargins left="0.7" right="0.7" top="0.75" bottom="0.75" header="0.3" footer="0.3"/>
  <pageSetup paperSize="9" orientation="landscape" r:id="rId1"/>
  <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Cover</vt:lpstr>
      <vt:lpstr>Client Load Sheet</vt:lpstr>
      <vt:lpstr>IPNZ Internal</vt:lpstr>
      <vt:lpstr>Cover!Print_Area</vt:lpstr>
      <vt:lpstr>'IPNZ Internal'!Print_Area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2017-09-17T23:33:41Z</dcterms:modified>
</cp:coreProperties>
</file>